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Downloads\0404改版\"/>
    </mc:Choice>
  </mc:AlternateContent>
  <xr:revisionPtr revIDLastSave="0" documentId="13_ncr:1_{91AD464A-C6C5-4F7D-B697-C18C4D7ACCC4}" xr6:coauthVersionLast="47" xr6:coauthVersionMax="47" xr10:uidLastSave="{00000000-0000-0000-0000-000000000000}"/>
  <workbookProtection workbookAlgorithmName="SHA-512" workbookHashValue="EIH8n2s9Hu47XwJXkUhhU0eNXOKOR7umnR1cfT2WH3cIaSnnM4KqbyvSBuVKzdeQjc/q2wJ7085gIjHDG4pvqg==" workbookSaltValue="MGUUCv8SHtPOmwJF73QTCA==" workbookSpinCount="100000" lockStructure="1"/>
  <bookViews>
    <workbookView xWindow="-120" yWindow="-120" windowWidth="20730" windowHeight="11160" tabRatio="923" xr2:uid="{00000000-000D-0000-FFFF-FFFF00000000}"/>
  </bookViews>
  <sheets>
    <sheet name="1-1 フローチャート(効果算定)" sheetId="34" r:id="rId1"/>
    <sheet name="1-2 フローチャート(活動量算定)" sheetId="35" r:id="rId2"/>
    <sheet name="2-1 算定シート（電動式）" sheetId="25" r:id="rId3"/>
    <sheet name="計算シート（電動式）" sheetId="24" state="hidden" r:id="rId4"/>
    <sheet name="電動式データ" sheetId="32" state="hidden" r:id="rId5"/>
    <sheet name="2-2 算定シート（燃焼式）" sheetId="27" r:id="rId6"/>
    <sheet name="計算シート (燃焼式)" sheetId="28" state="hidden" r:id="rId7"/>
    <sheet name="燃焼式データ" sheetId="33" state="hidden" r:id="rId8"/>
    <sheet name="使ってない）燃料データ_新" sheetId="29" state="hidden" r:id="rId9"/>
    <sheet name="使ってない）燃焼式データ(旧)" sheetId="31" state="hidden" r:id="rId10"/>
    <sheet name="使ってない）複数ボイラの平均効率算出方法" sheetId="21" state="hidden" r:id="rId11"/>
    <sheet name="改訂日" sheetId="36" state="hidden" r:id="rId12"/>
  </sheets>
  <externalReferences>
    <externalReference r:id="rId13"/>
  </externalReferences>
  <definedNames>
    <definedName name="_AMO_XmlVersion" hidden="1">"'1'"</definedName>
    <definedName name="GJ換算係数" localSheetId="11">[1]非表示_GJ換算表!$C$6:$E$10</definedName>
    <definedName name="GJ換算係数">#REF!</definedName>
    <definedName name="_xlnm.Print_Area" localSheetId="0">'1-1 フローチャート(効果算定)'!$A$1:$M$31</definedName>
    <definedName name="_xlnm.Print_Area" localSheetId="1">'1-2 フローチャート(活動量算定)'!$A$1:$M$59</definedName>
    <definedName name="_xlnm.Print_Area" localSheetId="2">'2-1 算定シート（電動式）'!$A$1:$M$83</definedName>
    <definedName name="_xlnm.Print_Area" localSheetId="5">'2-2 算定シート（燃焼式）'!$A$1:$M$107</definedName>
    <definedName name="_xlnm.Print_Area" localSheetId="6">'計算シート (燃焼式)'!$A$1:$AA$120</definedName>
    <definedName name="_xlnm.Print_Area" localSheetId="10">'使ってない）複数ボイラの平均効率算出方法'!$A$1:$M$57</definedName>
    <definedName name="システム・設備区分" localSheetId="11">[1]非表示_年月・補助金等!$O$59:$O$76</definedName>
    <definedName name="システム・設備区分">#REF!</definedName>
    <definedName name="その他資金計画" localSheetId="11">[1]非表示_年月・補助金等!$H$59:$H$61</definedName>
    <definedName name="その他資金計画">#REF!</definedName>
    <definedName name="デフォルト値" localSheetId="11">[1]非表示_活動量と単位!$Q$8:$V$74</definedName>
    <definedName name="デフォルト値">#REF!</definedName>
    <definedName name="モニタリングポイント" localSheetId="11">'[1]5. モニタリングポイント'!$C$7:$M$26</definedName>
    <definedName name="モニタリングポイント">#REF!</definedName>
    <definedName name="活動の種別_全リスト" localSheetId="11">[1]非表示_活動の種別!$E$7:$E$42</definedName>
    <definedName name="活動の種別_全リスト">#REF!</definedName>
    <definedName name="活動の種別※その他除く" localSheetId="11">[1]非表示_活動量と単位!$D$8:$D$74</definedName>
    <definedName name="活動の種別※その他除く">#REF!</definedName>
    <definedName name="活動の種別と単位" localSheetId="11">[1]非表示_活動量と単位!$D$8:$J$75</definedName>
    <definedName name="活動の種別と単位">#REF!</definedName>
    <definedName name="活動の種別と単位2" localSheetId="11">[1]非表示_活動の種別!$E$8:$K$42</definedName>
    <definedName name="活動の種別と単位2">#REF!</definedName>
    <definedName name="活動種別_個票用" localSheetId="11">[1]排出係数・単価表!$B$11:$B$24</definedName>
    <definedName name="活動種別_個票用">#REF!</definedName>
    <definedName name="逆引き業種" localSheetId="11">[1]非表示_業種!$Q$7:$S$536</definedName>
    <definedName name="逆引き業種">#REF!</definedName>
    <definedName name="月リスト" localSheetId="11">[1]非表示_年月・補助金等!$D$59:$D$70</definedName>
    <definedName name="月リスト">#REF!</definedName>
    <definedName name="削減目標" localSheetId="11">'[1]511脱炭素化計画'!$U$9:$AN$20</definedName>
    <definedName name="削減目標">#REF!</definedName>
    <definedName name="産業分類" localSheetId="11">[1]非表示_業種!$Q$7:$Q$536</definedName>
    <definedName name="産業分類">#REF!</definedName>
    <definedName name="算定年度リスト" localSheetId="11">[1]非表示_年月・補助金等!$F$77:$F$86</definedName>
    <definedName name="算定年度リスト">#REF!</definedName>
    <definedName name="対策メニューリスト" localSheetId="11">[1]非表示_対策メニュー!$L$3:$O$345</definedName>
    <definedName name="対策メニューリスト">#REF!</definedName>
    <definedName name="対策個票番号" localSheetId="11">[1]非表示_年月・補助金等!$J$59:$J$82</definedName>
    <definedName name="対策個票番号">#REF!</definedName>
    <definedName name="中分類振り分け" localSheetId="11">[1]非表示_業種!$M$7:$N$105</definedName>
    <definedName name="中分類振り分け">#REF!</definedName>
    <definedName name="電力等のGJ換算係数" localSheetId="11">[1]非表示_活動の種別!$E$83:$G$90</definedName>
    <definedName name="電力等のGJ換算係数">#REF!</definedName>
    <definedName name="年リスト" localSheetId="11">[1]非表示_年月・補助金等!$C$59:$C$70</definedName>
    <definedName name="年リスト">#REF!</definedName>
    <definedName name="年月・年度リスト" localSheetId="11">[1]非表示_年月・補助金等!$B$74:$C$217</definedName>
    <definedName name="年月・年度リスト">#REF!</definedName>
    <definedName name="年度リスト" localSheetId="11">[1]非表示_年月・補助金等!$B$59:$B$70</definedName>
    <definedName name="年度リスト">#REF!</definedName>
    <definedName name="排出係数と単価1" localSheetId="11">[1]排出係数・単価表!$B$11:$I$24</definedName>
    <definedName name="排出係数と単価1">#REF!</definedName>
    <definedName name="排出係数と単価2" localSheetId="11">[1]排出係数・単価表!$B$11:$K$24</definedName>
    <definedName name="排出係数と単価2">#REF!</definedName>
    <definedName name="範囲区分" localSheetId="11">[1]非表示_年月・補助金等!$M$59:$M$61</definedName>
    <definedName name="範囲区分">#REF!</definedName>
    <definedName name="補助金" localSheetId="11">[1]非表示_年月・補助金等!$F$59:$F$63</definedName>
    <definedName name="補助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28" l="1"/>
  <c r="H28" i="28" l="1"/>
  <c r="I27" i="28" l="1"/>
  <c r="V82" i="24"/>
  <c r="H266" i="32"/>
  <c r="L235" i="33" l="1"/>
  <c r="E110" i="28"/>
  <c r="J236" i="33"/>
  <c r="J250" i="33"/>
  <c r="I269" i="32" l="1"/>
  <c r="I267" i="32"/>
  <c r="I266" i="32"/>
  <c r="H269" i="32"/>
  <c r="I53" i="28"/>
  <c r="I28" i="28"/>
  <c r="I52" i="28"/>
  <c r="I213" i="31"/>
  <c r="I237" i="33"/>
  <c r="J211" i="31"/>
  <c r="F211" i="31"/>
  <c r="J235" i="33"/>
  <c r="H53" i="28" l="1"/>
  <c r="J81" i="27"/>
  <c r="J79" i="27"/>
  <c r="J80" i="27" s="1"/>
  <c r="N237" i="33"/>
  <c r="M237" i="33"/>
  <c r="L237" i="33"/>
  <c r="J237" i="33"/>
  <c r="H237" i="33"/>
  <c r="F237" i="33"/>
  <c r="F235" i="33"/>
  <c r="H235" i="33"/>
  <c r="M235" i="33"/>
  <c r="N235" i="33"/>
  <c r="O235" i="33"/>
  <c r="C97" i="28" a="1"/>
  <c r="C97" i="28" s="1"/>
  <c r="I227" i="33"/>
  <c r="O241" i="33"/>
  <c r="K240" i="33"/>
  <c r="K239" i="33"/>
  <c r="G245" i="33"/>
  <c r="G241" i="33"/>
  <c r="G239" i="33"/>
  <c r="G240" i="33"/>
  <c r="L244" i="33" l="1"/>
  <c r="L243" i="33"/>
  <c r="M244" i="33" l="1"/>
  <c r="M243" i="33"/>
  <c r="L242" i="33"/>
  <c r="L241" i="33"/>
  <c r="J247" i="33"/>
  <c r="F249" i="33"/>
  <c r="F248" i="33"/>
  <c r="F206" i="33"/>
  <c r="F205" i="33"/>
  <c r="F201" i="33"/>
  <c r="L240" i="33"/>
  <c r="L239" i="33"/>
  <c r="L248" i="33"/>
  <c r="H274" i="32"/>
  <c r="J274" i="32"/>
  <c r="H73" i="28" l="1"/>
  <c r="F99" i="33"/>
  <c r="F192" i="33"/>
  <c r="H32" i="28" a="1"/>
  <c r="H32" i="28" s="1"/>
  <c r="J40" i="28" s="1"/>
  <c r="H9" i="28"/>
  <c r="H10" i="28"/>
  <c r="H11" i="28"/>
  <c r="H12" i="28"/>
  <c r="I197" i="33"/>
  <c r="I196" i="33"/>
  <c r="I194" i="33"/>
  <c r="I200" i="33"/>
  <c r="I195" i="33"/>
  <c r="H100" i="33"/>
  <c r="I185" i="33"/>
  <c r="H201" i="33"/>
  <c r="H200" i="33"/>
  <c r="H193" i="33"/>
  <c r="F242" i="33"/>
  <c r="F241" i="33"/>
  <c r="I238" i="33"/>
  <c r="I240" i="33"/>
  <c r="I239" i="33"/>
  <c r="H242" i="33"/>
  <c r="H241" i="33"/>
  <c r="H236" i="33"/>
  <c r="C96" i="28"/>
  <c r="N247" i="33"/>
  <c r="O245" i="33"/>
  <c r="O228" i="33"/>
  <c r="N248" i="33"/>
  <c r="N244" i="33"/>
  <c r="N238" i="33"/>
  <c r="N228" i="33"/>
  <c r="O227" i="33"/>
  <c r="M242" i="33"/>
  <c r="M241" i="33"/>
  <c r="M229" i="33"/>
  <c r="M119" i="28"/>
  <c r="M228" i="33"/>
  <c r="L245" i="33"/>
  <c r="G248" i="33"/>
  <c r="G249" i="33"/>
  <c r="K234" i="33"/>
  <c r="G234" i="33"/>
  <c r="M233" i="33"/>
  <c r="O232" i="33"/>
  <c r="M232" i="33"/>
  <c r="L232" i="33"/>
  <c r="I232" i="33"/>
  <c r="H232" i="33"/>
  <c r="O231" i="33"/>
  <c r="M231" i="33"/>
  <c r="H231" i="33"/>
  <c r="O230" i="33"/>
  <c r="M230" i="33"/>
  <c r="H230" i="33"/>
  <c r="J229" i="33"/>
  <c r="N229" i="33" s="1"/>
  <c r="J228" i="33"/>
  <c r="N227" i="33"/>
  <c r="M227" i="33"/>
  <c r="L227" i="33"/>
  <c r="J227" i="33"/>
  <c r="H227" i="33"/>
  <c r="F227" i="33"/>
  <c r="O226" i="33"/>
  <c r="N226" i="33"/>
  <c r="M226" i="33"/>
  <c r="L226" i="33"/>
  <c r="J226" i="33"/>
  <c r="H226" i="33"/>
  <c r="F226" i="33"/>
  <c r="M225" i="33"/>
  <c r="L225" i="33"/>
  <c r="L229" i="33" s="1"/>
  <c r="J225" i="33"/>
  <c r="N225" i="33" s="1"/>
  <c r="I225" i="33"/>
  <c r="H225" i="33"/>
  <c r="H229" i="33" s="1"/>
  <c r="F225" i="33"/>
  <c r="F229" i="33" s="1"/>
  <c r="O224" i="33"/>
  <c r="M224" i="33"/>
  <c r="L224" i="33"/>
  <c r="L228" i="33" s="1"/>
  <c r="K224" i="33"/>
  <c r="J224" i="33"/>
  <c r="N224" i="33" s="1"/>
  <c r="H224" i="33"/>
  <c r="F224" i="33"/>
  <c r="F228" i="33" s="1"/>
  <c r="O223" i="33"/>
  <c r="N223" i="33"/>
  <c r="M223" i="33"/>
  <c r="L223" i="33"/>
  <c r="K223" i="33"/>
  <c r="J223" i="33"/>
  <c r="I223" i="33"/>
  <c r="H223" i="33"/>
  <c r="G223" i="33"/>
  <c r="F223" i="33"/>
  <c r="O222" i="33"/>
  <c r="M222" i="33"/>
  <c r="L222" i="33"/>
  <c r="I222" i="33"/>
  <c r="H222" i="33"/>
  <c r="O221" i="33"/>
  <c r="M221" i="33"/>
  <c r="L221" i="33"/>
  <c r="K221" i="33"/>
  <c r="J221" i="33"/>
  <c r="N221" i="33" s="1"/>
  <c r="I221" i="33"/>
  <c r="H221" i="33"/>
  <c r="G221" i="33"/>
  <c r="F221" i="33"/>
  <c r="O218" i="33"/>
  <c r="N218" i="33"/>
  <c r="M218" i="33"/>
  <c r="L218" i="33"/>
  <c r="K218" i="33"/>
  <c r="J218" i="33"/>
  <c r="I218" i="33"/>
  <c r="H218" i="33"/>
  <c r="G218" i="33"/>
  <c r="F218" i="33"/>
  <c r="D213" i="33"/>
  <c r="D202" i="33"/>
  <c r="H192" i="33"/>
  <c r="G191" i="33"/>
  <c r="H190" i="33"/>
  <c r="H189" i="33"/>
  <c r="H188" i="33"/>
  <c r="F187" i="33"/>
  <c r="H185" i="33"/>
  <c r="F185" i="33"/>
  <c r="H184" i="33"/>
  <c r="F184" i="33"/>
  <c r="I183" i="33"/>
  <c r="I187" i="33" s="1"/>
  <c r="H183" i="33"/>
  <c r="H187" i="33" s="1"/>
  <c r="F183" i="33"/>
  <c r="H182" i="33"/>
  <c r="H186" i="33" s="1"/>
  <c r="F182" i="33"/>
  <c r="F186" i="33" s="1"/>
  <c r="I91" i="33"/>
  <c r="G90" i="33"/>
  <c r="H85" i="33"/>
  <c r="H83" i="33"/>
  <c r="H84" i="33" s="1"/>
  <c r="H86" i="33" s="1"/>
  <c r="I93" i="33" s="1"/>
  <c r="H82" i="33"/>
  <c r="H81" i="33"/>
  <c r="H76" i="33"/>
  <c r="H74" i="33"/>
  <c r="H93" i="33" s="1"/>
  <c r="H73" i="33"/>
  <c r="H72" i="33"/>
  <c r="H66" i="33"/>
  <c r="H71" i="33" s="1"/>
  <c r="H91" i="33" s="1"/>
  <c r="G100" i="33" s="1"/>
  <c r="L238" i="33" s="1"/>
  <c r="H64" i="33"/>
  <c r="H62" i="33"/>
  <c r="H61" i="33"/>
  <c r="H60" i="33"/>
  <c r="H54" i="33"/>
  <c r="H59" i="33" s="1"/>
  <c r="H90" i="33" s="1"/>
  <c r="G99" i="33" s="1"/>
  <c r="H51" i="33"/>
  <c r="H52" i="33" s="1"/>
  <c r="G93" i="33" s="1"/>
  <c r="F102" i="33" s="1"/>
  <c r="H50" i="33"/>
  <c r="H43" i="33"/>
  <c r="H48" i="33" s="1"/>
  <c r="H49" i="33" s="1"/>
  <c r="G91" i="33" s="1"/>
  <c r="F100" i="33" s="1"/>
  <c r="H41" i="33"/>
  <c r="H40" i="33"/>
  <c r="H42" i="33" s="1"/>
  <c r="G92" i="33" s="1"/>
  <c r="F101" i="33" s="1"/>
  <c r="H33" i="33"/>
  <c r="H38" i="33" s="1"/>
  <c r="H39" i="33" s="1"/>
  <c r="J238" i="33" l="1"/>
  <c r="F194" i="33"/>
  <c r="F195" i="33" s="1"/>
  <c r="F238" i="33"/>
  <c r="G102" i="33"/>
  <c r="G242" i="33"/>
  <c r="F199" i="33"/>
  <c r="H194" i="33"/>
  <c r="H195" i="33" s="1"/>
  <c r="H228" i="33"/>
  <c r="I229" i="33"/>
  <c r="I242" i="33"/>
  <c r="I199" i="33"/>
  <c r="H102" i="33"/>
  <c r="F198" i="33"/>
  <c r="F243" i="33"/>
  <c r="H63" i="33"/>
  <c r="H65" i="33" s="1"/>
  <c r="H92" i="33" s="1"/>
  <c r="M238" i="33"/>
  <c r="H238" i="33"/>
  <c r="G243" i="33" l="1"/>
  <c r="I245" i="33"/>
  <c r="I243" i="33"/>
  <c r="I249" i="33" s="1"/>
  <c r="G101" i="33"/>
  <c r="O239" i="33"/>
  <c r="O240" i="33" s="1"/>
  <c r="O244" i="33" s="1"/>
  <c r="O236" i="33"/>
  <c r="L236" i="33"/>
  <c r="F239" i="33"/>
  <c r="F236" i="33"/>
  <c r="I201" i="33"/>
  <c r="I203" i="33" s="1"/>
  <c r="I204" i="33" s="1"/>
  <c r="I205" i="33"/>
  <c r="N239" i="33"/>
  <c r="N240" i="33" s="1"/>
  <c r="N236" i="33"/>
  <c r="F245" i="33"/>
  <c r="M239" i="33"/>
  <c r="M240" i="33" s="1"/>
  <c r="M236" i="33"/>
  <c r="F196" i="33"/>
  <c r="F193" i="33"/>
  <c r="F197" i="33" s="1"/>
  <c r="H197" i="33"/>
  <c r="H205" i="33" s="1"/>
  <c r="H199" i="33"/>
  <c r="J239" i="33"/>
  <c r="J240" i="33" s="1"/>
  <c r="K250" i="33"/>
  <c r="K251" i="33" s="1"/>
  <c r="K244" i="33"/>
  <c r="K246" i="33" s="1"/>
  <c r="K247" i="33" s="1"/>
  <c r="F200" i="33"/>
  <c r="I206" i="33"/>
  <c r="I202" i="33"/>
  <c r="H239" i="33"/>
  <c r="G244" i="33"/>
  <c r="G250" i="33"/>
  <c r="G251" i="33" s="1"/>
  <c r="H196" i="33"/>
  <c r="F202" i="33" l="1"/>
  <c r="L249" i="33"/>
  <c r="M249" i="33"/>
  <c r="M245" i="33"/>
  <c r="H244" i="33"/>
  <c r="H240" i="33"/>
  <c r="H248" i="33" s="1"/>
  <c r="M248" i="33"/>
  <c r="M250" i="33" s="1"/>
  <c r="M251" i="33" s="1"/>
  <c r="M246" i="33"/>
  <c r="M247" i="33" s="1"/>
  <c r="N246" i="33"/>
  <c r="N250" i="33"/>
  <c r="N251" i="33" s="1"/>
  <c r="F244" i="33"/>
  <c r="F246" i="33" s="1"/>
  <c r="F247" i="33" s="1"/>
  <c r="F240" i="33"/>
  <c r="F250" i="33" s="1"/>
  <c r="F251" i="33" s="1"/>
  <c r="O248" i="33"/>
  <c r="F203" i="33"/>
  <c r="F204" i="33" s="1"/>
  <c r="G246" i="33"/>
  <c r="G247" i="33" s="1"/>
  <c r="J251" i="33"/>
  <c r="J244" i="33"/>
  <c r="J246" i="33" s="1"/>
  <c r="F207" i="33"/>
  <c r="F208" i="33" s="1"/>
  <c r="I207" i="33"/>
  <c r="I208" i="33" s="1"/>
  <c r="L246" i="33"/>
  <c r="L247" i="33" s="1"/>
  <c r="H198" i="33"/>
  <c r="I248" i="33"/>
  <c r="I250" i="33" s="1"/>
  <c r="I251" i="33" s="1"/>
  <c r="I244" i="33"/>
  <c r="I246" i="33" s="1"/>
  <c r="I247" i="33" s="1"/>
  <c r="O243" i="33" l="1"/>
  <c r="O249" i="33" s="1"/>
  <c r="O250" i="33" s="1"/>
  <c r="O251" i="33" s="1"/>
  <c r="L250" i="33"/>
  <c r="L251" i="33" s="1"/>
  <c r="H245" i="33"/>
  <c r="H246" i="33" s="1"/>
  <c r="H247" i="33" s="1"/>
  <c r="H243" i="33"/>
  <c r="H249" i="33" s="1"/>
  <c r="H206" i="33"/>
  <c r="H207" i="33" s="1"/>
  <c r="H208" i="33" s="1"/>
  <c r="H202" i="33"/>
  <c r="H203" i="33" s="1"/>
  <c r="H204" i="33" s="1"/>
  <c r="O246" i="33"/>
  <c r="O247" i="33" s="1"/>
  <c r="H250" i="33"/>
  <c r="H251" i="33" s="1"/>
  <c r="I257" i="32" l="1"/>
  <c r="I256" i="32"/>
  <c r="K224" i="31" l="1"/>
  <c r="K215" i="31"/>
  <c r="G216" i="31"/>
  <c r="K216" i="31"/>
  <c r="C95" i="28"/>
  <c r="F222" i="31"/>
  <c r="F263" i="32" l="1"/>
  <c r="J264" i="32"/>
  <c r="I22" i="24"/>
  <c r="I5" i="24"/>
  <c r="L223" i="31"/>
  <c r="I30" i="29"/>
  <c r="I19" i="29"/>
  <c r="I163" i="31" l="1"/>
  <c r="H52" i="28"/>
  <c r="H51" i="28"/>
  <c r="H27" i="28"/>
  <c r="H26" i="28"/>
  <c r="H13" i="28"/>
  <c r="H14" i="28"/>
  <c r="G170" i="31"/>
  <c r="G215" i="31"/>
  <c r="K219" i="31"/>
  <c r="G220" i="31" l="1"/>
  <c r="G219" i="31"/>
  <c r="N223" i="31"/>
  <c r="F223" i="31"/>
  <c r="F221" i="31"/>
  <c r="H8" i="28"/>
  <c r="H7" i="28"/>
  <c r="J8" i="28" l="1"/>
  <c r="J9" i="28"/>
  <c r="J263" i="32"/>
  <c r="E81" i="24"/>
  <c r="G265" i="32"/>
  <c r="G269" i="32"/>
  <c r="G273" i="32"/>
  <c r="I13" i="24"/>
  <c r="I14" i="24"/>
  <c r="I15" i="24"/>
  <c r="I16" i="24"/>
  <c r="S26" i="28" l="1"/>
  <c r="S20" i="28"/>
  <c r="S27" i="28"/>
  <c r="S21" i="28"/>
  <c r="S24" i="28"/>
  <c r="S22" i="28"/>
  <c r="I9" i="24"/>
  <c r="I10" i="24"/>
  <c r="L6" i="24" s="1"/>
  <c r="I18" i="24"/>
  <c r="L14" i="24" s="1"/>
  <c r="E54" i="24" s="1"/>
  <c r="I19" i="24"/>
  <c r="L15" i="24" s="1"/>
  <c r="I20" i="24"/>
  <c r="L16" i="24" s="1"/>
  <c r="E56" i="24" s="1"/>
  <c r="I17" i="24"/>
  <c r="S29" i="28" l="1"/>
  <c r="L82" i="24"/>
  <c r="AB18" i="24"/>
  <c r="AA18" i="24"/>
  <c r="Y5" i="24"/>
  <c r="AB5" i="24"/>
  <c r="AA5" i="24"/>
  <c r="E68" i="24"/>
  <c r="I49" i="24"/>
  <c r="H62" i="24" s="1"/>
  <c r="I48" i="24"/>
  <c r="L48" i="24" l="1"/>
  <c r="G78" i="25"/>
  <c r="AB43" i="24"/>
  <c r="AB42" i="24"/>
  <c r="G82" i="24"/>
  <c r="I29" i="24"/>
  <c r="G262" i="32"/>
  <c r="H246" i="32"/>
  <c r="I229" i="32"/>
  <c r="J228" i="32"/>
  <c r="H228" i="32"/>
  <c r="J227" i="32"/>
  <c r="I227" i="32"/>
  <c r="I223" i="32"/>
  <c r="J222" i="32"/>
  <c r="I222" i="32"/>
  <c r="J220" i="32"/>
  <c r="J224" i="32" s="1"/>
  <c r="D215" i="32"/>
  <c r="I261" i="32"/>
  <c r="H260" i="32"/>
  <c r="I255" i="32"/>
  <c r="F255" i="32"/>
  <c r="I254" i="32"/>
  <c r="H254" i="32"/>
  <c r="J254" i="32"/>
  <c r="I253" i="32"/>
  <c r="J253" i="32"/>
  <c r="I252" i="32"/>
  <c r="H250" i="32"/>
  <c r="J250" i="32"/>
  <c r="G177" i="32"/>
  <c r="F177" i="32"/>
  <c r="I176" i="32"/>
  <c r="H176" i="32"/>
  <c r="I175" i="32"/>
  <c r="H175" i="32"/>
  <c r="H177" i="32" s="1"/>
  <c r="I170" i="32"/>
  <c r="J169" i="32"/>
  <c r="H169" i="32"/>
  <c r="J168" i="32"/>
  <c r="I168" i="32"/>
  <c r="I166" i="32"/>
  <c r="J165" i="32"/>
  <c r="I165" i="32"/>
  <c r="J163" i="32"/>
  <c r="F156" i="32"/>
  <c r="G157" i="32" s="1"/>
  <c r="G160" i="32" s="1"/>
  <c r="D155" i="32"/>
  <c r="G150" i="32"/>
  <c r="G153" i="32" s="1"/>
  <c r="G149" i="32"/>
  <c r="J226" i="32" s="1"/>
  <c r="D148" i="32"/>
  <c r="F148" i="32" s="1"/>
  <c r="I147" i="32"/>
  <c r="G138" i="32"/>
  <c r="I228" i="32" s="1"/>
  <c r="H133" i="32"/>
  <c r="G136" i="32" s="1"/>
  <c r="I226" i="32"/>
  <c r="I130" i="32"/>
  <c r="I220" i="32"/>
  <c r="H166" i="32"/>
  <c r="H165" i="32"/>
  <c r="H221" i="32"/>
  <c r="H220" i="32"/>
  <c r="G230" i="32"/>
  <c r="F223" i="32"/>
  <c r="F222" i="32"/>
  <c r="F164" i="32"/>
  <c r="G106" i="32"/>
  <c r="G103" i="32"/>
  <c r="G102" i="32"/>
  <c r="G101" i="32"/>
  <c r="G97" i="32"/>
  <c r="G93" i="32"/>
  <c r="G88" i="32"/>
  <c r="G84" i="32"/>
  <c r="G79" i="32"/>
  <c r="G73" i="32"/>
  <c r="G86" i="32" s="1"/>
  <c r="G69" i="32"/>
  <c r="G75" i="32" s="1"/>
  <c r="G68" i="32" s="1"/>
  <c r="G65" i="32"/>
  <c r="G61" i="32"/>
  <c r="G56" i="32"/>
  <c r="G54" i="32"/>
  <c r="G53" i="32"/>
  <c r="G52" i="32"/>
  <c r="G29" i="32" l="1"/>
  <c r="G34" i="32" s="1"/>
  <c r="G28" i="32" s="1"/>
  <c r="F232" i="32" s="1"/>
  <c r="G44" i="32"/>
  <c r="G49" i="32" s="1"/>
  <c r="G43" i="32" s="1"/>
  <c r="H232" i="32" s="1"/>
  <c r="AB12" i="24"/>
  <c r="E62" i="24"/>
  <c r="I258" i="32"/>
  <c r="I260" i="32"/>
  <c r="G22" i="32"/>
  <c r="G27" i="32" s="1"/>
  <c r="G21" i="32" s="1"/>
  <c r="I113" i="32"/>
  <c r="G104" i="32"/>
  <c r="I224" i="32"/>
  <c r="G85" i="32"/>
  <c r="G107" i="32"/>
  <c r="G100" i="32" s="1"/>
  <c r="G99" i="32"/>
  <c r="G92" i="32" s="1"/>
  <c r="G78" i="32"/>
  <c r="I129" i="32"/>
  <c r="G80" i="32"/>
  <c r="F166" i="32"/>
  <c r="F220" i="32"/>
  <c r="F224" i="32" s="1"/>
  <c r="H223" i="32"/>
  <c r="H225" i="32" s="1"/>
  <c r="G90" i="32"/>
  <c r="G77" i="32" s="1"/>
  <c r="I235" i="32" s="1"/>
  <c r="F165" i="32"/>
  <c r="I259" i="32"/>
  <c r="J246" i="32"/>
  <c r="G58" i="32"/>
  <c r="G51" i="32" s="1"/>
  <c r="H235" i="32" s="1"/>
  <c r="G67" i="32"/>
  <c r="G60" i="32" s="1"/>
  <c r="I231" i="32" s="1"/>
  <c r="G121" i="32"/>
  <c r="G124" i="32" s="1"/>
  <c r="F163" i="32"/>
  <c r="G163" i="32" s="1"/>
  <c r="I167" i="32"/>
  <c r="G171" i="32"/>
  <c r="I177" i="32"/>
  <c r="I250" i="32"/>
  <c r="D132" i="32"/>
  <c r="I163" i="32"/>
  <c r="J167" i="32"/>
  <c r="I169" i="32"/>
  <c r="F246" i="32"/>
  <c r="G246" i="32" s="1"/>
  <c r="H252" i="32"/>
  <c r="H256" i="32" s="1"/>
  <c r="F231" i="32"/>
  <c r="J234" i="32"/>
  <c r="J236" i="32" s="1"/>
  <c r="J239" i="32" s="1"/>
  <c r="I232" i="32"/>
  <c r="J255" i="32"/>
  <c r="J257" i="32" s="1"/>
  <c r="G57" i="32"/>
  <c r="G50" i="32" s="1"/>
  <c r="H163" i="32"/>
  <c r="H164" i="32"/>
  <c r="I221" i="32"/>
  <c r="F252" i="32"/>
  <c r="J252" i="32"/>
  <c r="J256" i="32" s="1"/>
  <c r="F254" i="32"/>
  <c r="I114" i="32"/>
  <c r="F221" i="32"/>
  <c r="F225" i="32" s="1"/>
  <c r="G37" i="32"/>
  <c r="G42" i="32" s="1"/>
  <c r="G36" i="32" s="1"/>
  <c r="I120" i="32"/>
  <c r="D139" i="32"/>
  <c r="G140" i="32" s="1"/>
  <c r="G143" i="32" s="1"/>
  <c r="I164" i="32"/>
  <c r="I246" i="32"/>
  <c r="F253" i="32"/>
  <c r="F257" i="32" s="1"/>
  <c r="H222" i="32"/>
  <c r="H224" i="32" s="1"/>
  <c r="I119" i="32"/>
  <c r="G187" i="32"/>
  <c r="F250" i="32"/>
  <c r="G250" i="32" s="1"/>
  <c r="G81" i="32" l="1"/>
  <c r="G89" i="32" s="1"/>
  <c r="G270" i="32"/>
  <c r="I264" i="32"/>
  <c r="I263" i="32"/>
  <c r="F264" i="32"/>
  <c r="H268" i="32"/>
  <c r="H271" i="32" s="1"/>
  <c r="J233" i="32"/>
  <c r="H263" i="32"/>
  <c r="H265" i="32" s="1"/>
  <c r="J231" i="32"/>
  <c r="G76" i="32"/>
  <c r="I234" i="32" s="1"/>
  <c r="I236" i="32" s="1"/>
  <c r="I239" i="32" s="1"/>
  <c r="G272" i="32"/>
  <c r="F233" i="32"/>
  <c r="F238" i="32" s="1"/>
  <c r="F240" i="32" s="1"/>
  <c r="I225" i="32"/>
  <c r="H231" i="32"/>
  <c r="H233" i="32" s="1"/>
  <c r="I265" i="32"/>
  <c r="F256" i="32"/>
  <c r="G252" i="32"/>
  <c r="H234" i="32"/>
  <c r="H236" i="32" s="1"/>
  <c r="H239" i="32" s="1"/>
  <c r="I268" i="32"/>
  <c r="I271" i="32" s="1"/>
  <c r="I233" i="32"/>
  <c r="J265" i="32" l="1"/>
  <c r="F265" i="32"/>
  <c r="H270" i="32"/>
  <c r="H272" i="32" s="1"/>
  <c r="H273" i="32"/>
  <c r="J237" i="32"/>
  <c r="J241" i="32" s="1"/>
  <c r="J242" i="32" s="1"/>
  <c r="J238" i="32"/>
  <c r="J240" i="32" s="1"/>
  <c r="F237" i="32"/>
  <c r="F241" i="32" s="1"/>
  <c r="F242" i="32" s="1"/>
  <c r="G274" i="32"/>
  <c r="J269" i="32"/>
  <c r="J273" i="32" s="1"/>
  <c r="J270" i="32"/>
  <c r="J272" i="32" s="1"/>
  <c r="H238" i="32"/>
  <c r="H240" i="32" s="1"/>
  <c r="H237" i="32"/>
  <c r="H241" i="32" s="1"/>
  <c r="H242" i="32" s="1"/>
  <c r="I238" i="32"/>
  <c r="I240" i="32" s="1"/>
  <c r="I237" i="32"/>
  <c r="I241" i="32" s="1"/>
  <c r="I242" i="32" s="1"/>
  <c r="I270" i="32"/>
  <c r="I272" i="32" s="1"/>
  <c r="I273" i="32"/>
  <c r="I274" i="32" s="1"/>
  <c r="F269" i="32" l="1"/>
  <c r="F273" i="32" s="1"/>
  <c r="F274" i="32" s="1"/>
  <c r="F270" i="32"/>
  <c r="F272" i="32" s="1"/>
  <c r="H202" i="31"/>
  <c r="H37" i="28"/>
  <c r="H38" i="28"/>
  <c r="H39" i="28"/>
  <c r="H40" i="28"/>
  <c r="H41" i="28"/>
  <c r="J37" i="28" s="1"/>
  <c r="H42" i="28"/>
  <c r="J38" i="28" s="1"/>
  <c r="N217" i="31"/>
  <c r="N220" i="31" s="1"/>
  <c r="M218" i="31"/>
  <c r="H60" i="28"/>
  <c r="J59" i="28" s="1"/>
  <c r="M217" i="31"/>
  <c r="L218" i="31"/>
  <c r="L217" i="31"/>
  <c r="I203" i="31"/>
  <c r="F42" i="31"/>
  <c r="J91" i="27"/>
  <c r="B33" i="28"/>
  <c r="H15" i="28"/>
  <c r="G91" i="27"/>
  <c r="D64" i="28" l="1"/>
  <c r="M120" i="28"/>
  <c r="I74" i="28"/>
  <c r="I83" i="28"/>
  <c r="J10" i="28"/>
  <c r="D73" i="28"/>
  <c r="S46" i="28"/>
  <c r="S14" i="28"/>
  <c r="L220" i="31"/>
  <c r="M223" i="31"/>
  <c r="M220" i="31"/>
  <c r="W46" i="28"/>
  <c r="H20" i="28"/>
  <c r="J16" i="28" s="1"/>
  <c r="E63" i="28" s="1"/>
  <c r="D63" i="28" s="1"/>
  <c r="H21" i="28"/>
  <c r="H22" i="28"/>
  <c r="H23" i="28"/>
  <c r="H24" i="28"/>
  <c r="J20" i="28" s="1"/>
  <c r="H25" i="28"/>
  <c r="J21" i="28" s="1"/>
  <c r="H29" i="28"/>
  <c r="J29" i="28" s="1"/>
  <c r="H43" i="28"/>
  <c r="H44" i="28"/>
  <c r="H45" i="28"/>
  <c r="H46" i="28"/>
  <c r="H162" i="31"/>
  <c r="F43" i="31"/>
  <c r="H16" i="28"/>
  <c r="B32" i="28"/>
  <c r="B2" i="28"/>
  <c r="M112" i="28" s="1"/>
  <c r="B1" i="28"/>
  <c r="H218" i="31"/>
  <c r="K210" i="31"/>
  <c r="G210" i="31"/>
  <c r="M209" i="31"/>
  <c r="N208" i="31"/>
  <c r="M208" i="31"/>
  <c r="L208" i="31"/>
  <c r="I208" i="31"/>
  <c r="H208" i="31"/>
  <c r="N207" i="31"/>
  <c r="M207" i="31"/>
  <c r="H207" i="31"/>
  <c r="N206" i="31"/>
  <c r="M206" i="31"/>
  <c r="H206" i="31"/>
  <c r="M203" i="31"/>
  <c r="L203" i="31"/>
  <c r="J203" i="31"/>
  <c r="H203" i="31"/>
  <c r="F203" i="31"/>
  <c r="N202" i="31"/>
  <c r="M202" i="31"/>
  <c r="L202" i="31"/>
  <c r="J202" i="31"/>
  <c r="F202" i="31"/>
  <c r="M201" i="31"/>
  <c r="L201" i="31"/>
  <c r="J201" i="31"/>
  <c r="H201" i="31"/>
  <c r="H205" i="31" s="1"/>
  <c r="F201" i="31"/>
  <c r="N200" i="31"/>
  <c r="M200" i="31"/>
  <c r="L200" i="31"/>
  <c r="L204" i="31" s="1"/>
  <c r="J200" i="31"/>
  <c r="H200" i="31"/>
  <c r="H204" i="31" s="1"/>
  <c r="F200" i="31"/>
  <c r="H199" i="31"/>
  <c r="D179" i="31"/>
  <c r="I177" i="31"/>
  <c r="H177" i="31"/>
  <c r="H176" i="31"/>
  <c r="G169" i="31"/>
  <c r="H168" i="31"/>
  <c r="H167" i="31"/>
  <c r="H166" i="31"/>
  <c r="H163" i="31"/>
  <c r="F163" i="31"/>
  <c r="F162" i="31"/>
  <c r="I161" i="31"/>
  <c r="I201" i="31" s="1"/>
  <c r="I205" i="31" s="1"/>
  <c r="H161" i="31"/>
  <c r="H165" i="31" s="1"/>
  <c r="F161" i="31"/>
  <c r="F165" i="31" s="1"/>
  <c r="H160" i="31"/>
  <c r="H164" i="31" s="1"/>
  <c r="F160" i="31"/>
  <c r="I113" i="31"/>
  <c r="I112" i="31"/>
  <c r="H45" i="31"/>
  <c r="G45" i="31"/>
  <c r="F45" i="31"/>
  <c r="G218" i="31" s="1"/>
  <c r="G44" i="31"/>
  <c r="F44" i="31"/>
  <c r="G36" i="31"/>
  <c r="H43" i="31" s="1"/>
  <c r="G32" i="31"/>
  <c r="G43" i="31" s="1"/>
  <c r="G31" i="31"/>
  <c r="G42" i="31" s="1"/>
  <c r="S54" i="28" l="1"/>
  <c r="S53" i="28"/>
  <c r="E74" i="28"/>
  <c r="Y45" i="28"/>
  <c r="X45" i="28"/>
  <c r="E83" i="28"/>
  <c r="F177" i="31"/>
  <c r="F164" i="31"/>
  <c r="M204" i="31"/>
  <c r="J205" i="31"/>
  <c r="N204" i="31"/>
  <c r="N211" i="31" s="1"/>
  <c r="N212" i="31" s="1"/>
  <c r="F176" i="31"/>
  <c r="G217" i="31"/>
  <c r="F217" i="31"/>
  <c r="H217" i="31"/>
  <c r="H179" i="31"/>
  <c r="G222" i="31"/>
  <c r="M211" i="31"/>
  <c r="M212" i="31" s="1"/>
  <c r="L211" i="31"/>
  <c r="L212" i="31" s="1"/>
  <c r="H211" i="31"/>
  <c r="H212" i="31" s="1"/>
  <c r="F204" i="31"/>
  <c r="I179" i="31"/>
  <c r="I218" i="31"/>
  <c r="I182" i="31"/>
  <c r="L205" i="31"/>
  <c r="I172" i="31"/>
  <c r="I174" i="31" s="1"/>
  <c r="I178" i="31" s="1"/>
  <c r="I165" i="31"/>
  <c r="I215" i="31" s="1"/>
  <c r="I216" i="31" s="1"/>
  <c r="I222" i="31" s="1"/>
  <c r="J204" i="31"/>
  <c r="J212" i="31" s="1"/>
  <c r="F205" i="31"/>
  <c r="F213" i="31" s="1"/>
  <c r="F214" i="31" s="1"/>
  <c r="M205" i="31"/>
  <c r="M213" i="31" s="1"/>
  <c r="M214" i="31" s="1"/>
  <c r="Q11" i="28"/>
  <c r="H170" i="31"/>
  <c r="H171" i="31" s="1"/>
  <c r="L213" i="31"/>
  <c r="L214" i="31" s="1"/>
  <c r="H213" i="31"/>
  <c r="H214" i="31" s="1"/>
  <c r="H172" i="31"/>
  <c r="H173" i="31" s="1"/>
  <c r="F170" i="31"/>
  <c r="H182" i="31"/>
  <c r="J213" i="31"/>
  <c r="J214" i="31" s="1"/>
  <c r="F218" i="31"/>
  <c r="F172" i="31"/>
  <c r="F173" i="31" s="1"/>
  <c r="S19" i="28" l="1"/>
  <c r="S51" i="28" s="1"/>
  <c r="S56" i="28" s="1"/>
  <c r="S60" i="28"/>
  <c r="S57" i="28"/>
  <c r="F97" i="28"/>
  <c r="D69" i="28"/>
  <c r="V11" i="28"/>
  <c r="Q5" i="28"/>
  <c r="V5" i="28"/>
  <c r="T5" i="28"/>
  <c r="F212" i="31"/>
  <c r="F215" i="31"/>
  <c r="F219" i="31" s="1"/>
  <c r="I220" i="31"/>
  <c r="I223" i="31"/>
  <c r="I224" i="31" s="1"/>
  <c r="F220" i="31"/>
  <c r="K221" i="31"/>
  <c r="H223" i="31"/>
  <c r="H220" i="31"/>
  <c r="F171" i="31"/>
  <c r="F174" i="31"/>
  <c r="F178" i="31" s="1"/>
  <c r="F179" i="31"/>
  <c r="F182" i="31"/>
  <c r="G182" i="31" s="1"/>
  <c r="G173" i="31"/>
  <c r="G172" i="31"/>
  <c r="I219" i="31"/>
  <c r="G221" i="31"/>
  <c r="G223" i="31"/>
  <c r="G224" i="31" s="1"/>
  <c r="N215" i="31"/>
  <c r="N216" i="31" s="1"/>
  <c r="I180" i="31"/>
  <c r="I173" i="31"/>
  <c r="I175" i="31" s="1"/>
  <c r="L215" i="31"/>
  <c r="L216" i="31" s="1"/>
  <c r="J215" i="31"/>
  <c r="J216" i="31" s="1"/>
  <c r="H175" i="31"/>
  <c r="H174" i="31"/>
  <c r="H178" i="31" s="1"/>
  <c r="H180" i="31" s="1"/>
  <c r="H215" i="31"/>
  <c r="H219" i="31" s="1"/>
  <c r="M215" i="31"/>
  <c r="M216" i="31" s="1"/>
  <c r="G87" i="27" l="1"/>
  <c r="W51" i="28"/>
  <c r="W52" i="28" s="1"/>
  <c r="W56" i="28" s="1"/>
  <c r="S23" i="28"/>
  <c r="S25" i="28" s="1"/>
  <c r="S58" i="28"/>
  <c r="S52" i="28"/>
  <c r="F180" i="31"/>
  <c r="H181" i="31"/>
  <c r="H183" i="31" s="1"/>
  <c r="L219" i="31"/>
  <c r="L221" i="31" s="1"/>
  <c r="L222" i="31"/>
  <c r="L224" i="31" s="1"/>
  <c r="I181" i="31"/>
  <c r="I183" i="31" s="1"/>
  <c r="M219" i="31"/>
  <c r="M222" i="31"/>
  <c r="M224" i="31" s="1"/>
  <c r="J224" i="31"/>
  <c r="J219" i="31"/>
  <c r="N222" i="31"/>
  <c r="N224" i="31" s="1"/>
  <c r="N219" i="31"/>
  <c r="N221" i="31" s="1"/>
  <c r="G174" i="31"/>
  <c r="M221" i="31"/>
  <c r="F216" i="31"/>
  <c r="F224" i="31" s="1"/>
  <c r="H221" i="31"/>
  <c r="H216" i="31"/>
  <c r="F175" i="31"/>
  <c r="F181" i="31" s="1"/>
  <c r="G171" i="31"/>
  <c r="J221" i="31"/>
  <c r="I221" i="31"/>
  <c r="W59" i="28" l="1"/>
  <c r="W61" i="28" s="1"/>
  <c r="S59" i="28"/>
  <c r="W58" i="28"/>
  <c r="H222" i="31"/>
  <c r="H224" i="31" s="1"/>
  <c r="G175" i="31"/>
  <c r="G180" i="31"/>
  <c r="G178" i="31"/>
  <c r="S61" i="28" l="1"/>
  <c r="F183" i="31"/>
  <c r="G183" i="31" s="1"/>
  <c r="G181" i="31"/>
  <c r="B31" i="24" l="1"/>
  <c r="B1" i="24"/>
  <c r="H59" i="28"/>
  <c r="D44" i="29" l="1"/>
  <c r="H33" i="28" l="1"/>
  <c r="I33" i="24" l="1"/>
  <c r="I34" i="24"/>
  <c r="I35" i="24"/>
  <c r="I36" i="24"/>
  <c r="I37" i="24"/>
  <c r="I38" i="24"/>
  <c r="I43" i="24"/>
  <c r="I44" i="24"/>
  <c r="I45" i="24"/>
  <c r="M46" i="24" s="1"/>
  <c r="I39" i="24"/>
  <c r="I40" i="24"/>
  <c r="I41" i="24"/>
  <c r="I42" i="24"/>
  <c r="I46" i="24"/>
  <c r="I47" i="24"/>
  <c r="I32" i="24"/>
  <c r="H63" i="24" s="1"/>
  <c r="I21" i="24"/>
  <c r="L13" i="24" s="1"/>
  <c r="E53" i="24" s="1"/>
  <c r="I23" i="24"/>
  <c r="I24" i="24"/>
  <c r="I25" i="24"/>
  <c r="I26" i="24"/>
  <c r="I27" i="24"/>
  <c r="AB10" i="24" s="1"/>
  <c r="I28" i="24"/>
  <c r="L28" i="24" s="1"/>
  <c r="I12" i="24"/>
  <c r="E63" i="24" s="1"/>
  <c r="M44" i="24" l="1"/>
  <c r="H59" i="24" s="1"/>
  <c r="U83" i="24"/>
  <c r="U84" i="24"/>
  <c r="M45" i="24"/>
  <c r="H60" i="24" s="1"/>
  <c r="K28" i="24"/>
  <c r="K25" i="24"/>
  <c r="H68" i="24"/>
  <c r="J74" i="25"/>
  <c r="Z44" i="24"/>
  <c r="K48" i="24"/>
  <c r="H61" i="24"/>
  <c r="K45" i="24"/>
  <c r="L36" i="24"/>
  <c r="Y37" i="24" s="1"/>
  <c r="L35" i="24"/>
  <c r="AA36" i="24" s="1"/>
  <c r="L34" i="24"/>
  <c r="AC35" i="24" s="1"/>
  <c r="L33" i="24"/>
  <c r="AB34" i="24" s="1"/>
  <c r="AA9" i="24"/>
  <c r="AA3" i="24"/>
  <c r="AB3" i="24"/>
  <c r="Y3" i="24"/>
  <c r="AB9" i="24"/>
  <c r="AB40" i="24"/>
  <c r="AB41" i="24"/>
  <c r="AC9" i="24"/>
  <c r="E59" i="24"/>
  <c r="AC11" i="24"/>
  <c r="E61" i="24"/>
  <c r="AC10" i="24"/>
  <c r="E60" i="24"/>
  <c r="AA42" i="24"/>
  <c r="AB11" i="24"/>
  <c r="AA10" i="24"/>
  <c r="AA11" i="24"/>
  <c r="Z13" i="24"/>
  <c r="H56" i="24" l="1"/>
  <c r="AA37" i="24"/>
  <c r="AC37" i="24"/>
  <c r="AC39" i="24" s="1"/>
  <c r="AB37" i="24"/>
  <c r="AB35" i="24"/>
  <c r="AA35" i="24"/>
  <c r="AC36" i="24"/>
  <c r="Y35" i="24"/>
  <c r="H54" i="24"/>
  <c r="H55" i="24"/>
  <c r="AB36" i="24"/>
  <c r="AB38" i="24" s="1"/>
  <c r="Y36" i="24"/>
  <c r="G74" i="25"/>
  <c r="AC34" i="24"/>
  <c r="H53" i="24"/>
  <c r="Y34" i="24"/>
  <c r="Z34" i="24" s="1"/>
  <c r="AA34" i="24"/>
  <c r="AA38" i="24" s="1"/>
  <c r="AB6" i="24"/>
  <c r="AB4" i="24"/>
  <c r="Y6" i="24"/>
  <c r="AA6" i="24"/>
  <c r="Y4" i="24"/>
  <c r="AA4" i="24"/>
  <c r="W85" i="24" l="1"/>
  <c r="X85" i="24" s="1"/>
  <c r="W84" i="24"/>
  <c r="X84" i="24" s="1"/>
  <c r="W83" i="24"/>
  <c r="X83" i="24" s="1"/>
  <c r="W82" i="24"/>
  <c r="X82" i="24" s="1"/>
  <c r="M82" i="24"/>
  <c r="M85" i="24"/>
  <c r="N82" i="24"/>
  <c r="M83" i="24"/>
  <c r="J70" i="25"/>
  <c r="M84" i="24"/>
  <c r="N84" i="24"/>
  <c r="N83" i="24"/>
  <c r="AB39" i="24"/>
  <c r="AA8" i="24"/>
  <c r="Y8" i="24"/>
  <c r="Y38" i="24"/>
  <c r="AC38" i="24"/>
  <c r="Y39" i="24"/>
  <c r="AB7" i="24"/>
  <c r="Y7" i="24"/>
  <c r="AC3" i="24"/>
  <c r="AC5" i="24"/>
  <c r="E55" i="24"/>
  <c r="AB8" i="24"/>
  <c r="AA7" i="24"/>
  <c r="J71" i="25"/>
  <c r="I81" i="27"/>
  <c r="H58" i="24" l="1"/>
  <c r="J73" i="25" s="1"/>
  <c r="H57" i="24"/>
  <c r="K82" i="24"/>
  <c r="G70" i="25"/>
  <c r="K85" i="24"/>
  <c r="K83" i="24"/>
  <c r="K84" i="24"/>
  <c r="L84" i="24"/>
  <c r="L83" i="24"/>
  <c r="G71" i="25"/>
  <c r="AC7" i="24"/>
  <c r="H58" i="28"/>
  <c r="H57" i="28"/>
  <c r="E58" i="24" l="1"/>
  <c r="E57" i="24"/>
  <c r="J72" i="25"/>
  <c r="H18" i="28"/>
  <c r="H19" i="28"/>
  <c r="J19" i="28" s="1"/>
  <c r="G97" i="28" s="1"/>
  <c r="J18" i="28" l="1"/>
  <c r="F95" i="28" s="1"/>
  <c r="G95" i="28"/>
  <c r="G99" i="28"/>
  <c r="G96" i="28" s="1"/>
  <c r="G98" i="28"/>
  <c r="V8" i="28"/>
  <c r="G72" i="25"/>
  <c r="Q8" i="28"/>
  <c r="T8" i="28"/>
  <c r="U8" i="28"/>
  <c r="G73" i="25"/>
  <c r="J86" i="27"/>
  <c r="G86" i="27"/>
  <c r="F98" i="28" l="1"/>
  <c r="D66" i="28"/>
  <c r="F99" i="28"/>
  <c r="T7" i="28"/>
  <c r="V7" i="28"/>
  <c r="Q7" i="28"/>
  <c r="Q9" i="28" s="1"/>
  <c r="H34" i="28"/>
  <c r="H35" i="28"/>
  <c r="H36" i="28"/>
  <c r="H54" i="28"/>
  <c r="J55" i="28" s="1"/>
  <c r="H55" i="28"/>
  <c r="H56" i="28"/>
  <c r="J57" i="28" s="1"/>
  <c r="H47" i="28"/>
  <c r="J33" i="28" s="1"/>
  <c r="H48" i="28"/>
  <c r="H49" i="28"/>
  <c r="H50" i="28"/>
  <c r="D56" i="29"/>
  <c r="D55" i="29"/>
  <c r="D54" i="29"/>
  <c r="D53" i="29"/>
  <c r="D52" i="29"/>
  <c r="D51" i="29"/>
  <c r="D50" i="29"/>
  <c r="D49" i="29"/>
  <c r="D48" i="29"/>
  <c r="D47" i="29"/>
  <c r="D46" i="29"/>
  <c r="D45" i="29"/>
  <c r="H14" i="29"/>
  <c r="H13" i="29"/>
  <c r="H12" i="29"/>
  <c r="H11" i="29"/>
  <c r="H10" i="29"/>
  <c r="H9" i="29"/>
  <c r="H8" i="29"/>
  <c r="H7" i="29"/>
  <c r="H6" i="29"/>
  <c r="H5" i="29"/>
  <c r="H4" i="29"/>
  <c r="H3" i="29"/>
  <c r="H2" i="29"/>
  <c r="F96" i="28" l="1"/>
  <c r="D65" i="28" s="1"/>
  <c r="J56" i="28"/>
  <c r="X43" i="28" s="1"/>
  <c r="X42" i="28"/>
  <c r="T9" i="28"/>
  <c r="V9" i="28"/>
  <c r="J36" i="28"/>
  <c r="X44" i="28"/>
  <c r="U44" i="28"/>
  <c r="Y44" i="28"/>
  <c r="T44" i="28"/>
  <c r="AA44" i="28"/>
  <c r="Q44" i="28"/>
  <c r="J35" i="28"/>
  <c r="M91" i="28" s="1"/>
  <c r="J34" i="28"/>
  <c r="T37" i="28" s="1"/>
  <c r="F21" i="29"/>
  <c r="T42" i="28"/>
  <c r="T43" i="28"/>
  <c r="N99" i="28" l="1"/>
  <c r="Q39" i="28"/>
  <c r="N91" i="28"/>
  <c r="D67" i="28"/>
  <c r="G89" i="27" s="1"/>
  <c r="Z36" i="28"/>
  <c r="T36" i="28"/>
  <c r="M98" i="28"/>
  <c r="M93" i="28"/>
  <c r="U39" i="28"/>
  <c r="N93" i="28"/>
  <c r="M99" i="28"/>
  <c r="T38" i="28"/>
  <c r="T39" i="28"/>
  <c r="T41" i="28" s="1"/>
  <c r="N98" i="28"/>
  <c r="N92" i="28" s="1"/>
  <c r="Z38" i="28"/>
  <c r="Z39" i="28"/>
  <c r="Z37" i="28"/>
  <c r="F20" i="29"/>
  <c r="F22" i="29" s="1"/>
  <c r="C26" i="29" s="1"/>
  <c r="D26" i="29" s="1"/>
  <c r="N97" i="28"/>
  <c r="N94" i="28"/>
  <c r="N96" i="28"/>
  <c r="N95" i="28"/>
  <c r="AA38" i="28"/>
  <c r="Q38" i="28"/>
  <c r="X39" i="28"/>
  <c r="AA39" i="28"/>
  <c r="Y39" i="28"/>
  <c r="V39" i="28"/>
  <c r="H64" i="28"/>
  <c r="J88" i="27" s="1"/>
  <c r="V37" i="28"/>
  <c r="AA37" i="28"/>
  <c r="Q37" i="28"/>
  <c r="Y37" i="28"/>
  <c r="X37" i="28"/>
  <c r="Q36" i="28"/>
  <c r="V36" i="28"/>
  <c r="Y36" i="28"/>
  <c r="AA36" i="28"/>
  <c r="X36" i="28"/>
  <c r="U37" i="28"/>
  <c r="H71" i="28"/>
  <c r="M97" i="28"/>
  <c r="Y43" i="28"/>
  <c r="AA43" i="28"/>
  <c r="Y42" i="28"/>
  <c r="AA42" i="28"/>
  <c r="M96" i="28"/>
  <c r="Y38" i="28"/>
  <c r="X38" i="28"/>
  <c r="M95" i="28"/>
  <c r="M94" i="28"/>
  <c r="V38" i="28"/>
  <c r="Q42" i="28"/>
  <c r="H69" i="28"/>
  <c r="Q43" i="28"/>
  <c r="H70" i="28"/>
  <c r="H17" i="28"/>
  <c r="J17" i="28" s="1"/>
  <c r="V6" i="28" s="1"/>
  <c r="T11" i="28"/>
  <c r="H30" i="28"/>
  <c r="J30" i="28" s="1"/>
  <c r="H31" i="28"/>
  <c r="J31" i="28" s="1"/>
  <c r="H65" i="28" l="1"/>
  <c r="AA99" i="28"/>
  <c r="Z99" i="28" s="1"/>
  <c r="AA93" i="28"/>
  <c r="Z93" i="28" s="1"/>
  <c r="AA97" i="28"/>
  <c r="Z97" i="28" s="1"/>
  <c r="AA94" i="28"/>
  <c r="Z94" i="28" s="1"/>
  <c r="AA91" i="28"/>
  <c r="Z91" i="28" s="1"/>
  <c r="AA95" i="28"/>
  <c r="Z95" i="28" s="1"/>
  <c r="AA98" i="28"/>
  <c r="Z98" i="28" s="1"/>
  <c r="AA96" i="28"/>
  <c r="Z96" i="28" s="1"/>
  <c r="AA92" i="28"/>
  <c r="Z92" i="28" s="1"/>
  <c r="X95" i="28"/>
  <c r="M92" i="28"/>
  <c r="W96" i="28"/>
  <c r="W97" i="28"/>
  <c r="W95" i="28"/>
  <c r="W94" i="28"/>
  <c r="W99" i="28"/>
  <c r="W91" i="28"/>
  <c r="W92" i="28"/>
  <c r="W98" i="28"/>
  <c r="X97" i="28"/>
  <c r="Q40" i="28"/>
  <c r="X40" i="28"/>
  <c r="T40" i="28"/>
  <c r="AA40" i="28"/>
  <c r="Y40" i="28"/>
  <c r="V40" i="28"/>
  <c r="Z40" i="28"/>
  <c r="U41" i="28"/>
  <c r="J87" i="27"/>
  <c r="Y41" i="28"/>
  <c r="Z41" i="28"/>
  <c r="X41" i="28"/>
  <c r="D71" i="28"/>
  <c r="V13" i="28"/>
  <c r="C25" i="29"/>
  <c r="D25" i="29" s="1"/>
  <c r="C28" i="29"/>
  <c r="D28" i="29" s="1"/>
  <c r="C21" i="29"/>
  <c r="D21" i="29" s="1"/>
  <c r="C27" i="29"/>
  <c r="D27" i="29" s="1"/>
  <c r="C23" i="29"/>
  <c r="D23" i="29" s="1"/>
  <c r="C24" i="29"/>
  <c r="D24" i="29" s="1"/>
  <c r="C20" i="29"/>
  <c r="D20" i="29" s="1"/>
  <c r="C22" i="29"/>
  <c r="D22" i="29" s="1"/>
  <c r="Q6" i="28"/>
  <c r="Q10" i="28" s="1"/>
  <c r="T6" i="28"/>
  <c r="H66" i="28"/>
  <c r="Q12" i="28"/>
  <c r="V41" i="28"/>
  <c r="Q41" i="28"/>
  <c r="Q13" i="28"/>
  <c r="T12" i="28"/>
  <c r="T13" i="28"/>
  <c r="I67" i="28" l="1"/>
  <c r="J67" i="28"/>
  <c r="J68" i="28"/>
  <c r="I68" i="28"/>
  <c r="L67" i="28"/>
  <c r="D70" i="28"/>
  <c r="V12" i="28"/>
  <c r="T10" i="28"/>
  <c r="V10" i="28"/>
  <c r="H21" i="29"/>
  <c r="G52" i="29" s="1"/>
  <c r="F31" i="29"/>
  <c r="F32" i="29"/>
  <c r="U6" i="28"/>
  <c r="U10" i="28" s="1"/>
  <c r="E64" i="28"/>
  <c r="I80" i="27"/>
  <c r="H4" i="28"/>
  <c r="J4" i="28" s="1"/>
  <c r="I98" i="28" s="1"/>
  <c r="H5" i="28"/>
  <c r="H6" i="28"/>
  <c r="J6" i="28" s="1"/>
  <c r="H3" i="28"/>
  <c r="J3" i="28" s="1"/>
  <c r="I3" i="24"/>
  <c r="I4" i="24"/>
  <c r="I6" i="24"/>
  <c r="L5" i="24" s="1"/>
  <c r="I7" i="24"/>
  <c r="I8" i="24"/>
  <c r="I2" i="24"/>
  <c r="I79" i="27"/>
  <c r="J69" i="25"/>
  <c r="G69" i="25"/>
  <c r="I64" i="25"/>
  <c r="W93" i="28" l="1"/>
  <c r="X91" i="28"/>
  <c r="H95" i="28"/>
  <c r="H99" i="28"/>
  <c r="H98" i="28"/>
  <c r="J5" i="28"/>
  <c r="J98" i="28" s="1"/>
  <c r="K66" i="24"/>
  <c r="F67" i="24" s="1"/>
  <c r="Z20" i="24"/>
  <c r="X93" i="28"/>
  <c r="X99" i="28"/>
  <c r="X94" i="28"/>
  <c r="X98" i="28"/>
  <c r="X96" i="28"/>
  <c r="K68" i="28"/>
  <c r="H68" i="28" s="1"/>
  <c r="K67" i="28" a="1"/>
  <c r="K67" i="28" s="1"/>
  <c r="H67" i="28" s="1"/>
  <c r="S28" i="28"/>
  <c r="G45" i="29"/>
  <c r="I97" i="28"/>
  <c r="L3" i="24"/>
  <c r="E64" i="24" s="1"/>
  <c r="J10" i="24"/>
  <c r="AB17" i="24"/>
  <c r="AB19" i="24" s="1"/>
  <c r="AB22" i="24" s="1"/>
  <c r="J6" i="24"/>
  <c r="L4" i="24"/>
  <c r="Z15" i="24" s="1"/>
  <c r="F33" i="29"/>
  <c r="C36" i="29" s="1"/>
  <c r="D36" i="29" s="1"/>
  <c r="AB49" i="24"/>
  <c r="J4" i="24"/>
  <c r="H96" i="28" l="1"/>
  <c r="G88" i="27"/>
  <c r="D68" i="28"/>
  <c r="G90" i="27" s="1"/>
  <c r="O84" i="24"/>
  <c r="P84" i="24" s="1"/>
  <c r="O85" i="24"/>
  <c r="P85" i="24" s="1"/>
  <c r="O83" i="24"/>
  <c r="P83" i="24" s="1"/>
  <c r="O82" i="24"/>
  <c r="P82" i="24" s="1"/>
  <c r="AA53" i="28"/>
  <c r="AA57" i="28" s="1"/>
  <c r="D80" i="28"/>
  <c r="J95" i="28"/>
  <c r="Q21" i="28"/>
  <c r="Q53" i="28" s="1"/>
  <c r="V21" i="28"/>
  <c r="J99" i="28"/>
  <c r="J96" i="28" s="1"/>
  <c r="T21" i="28"/>
  <c r="Y53" i="28" s="1"/>
  <c r="K97" i="28"/>
  <c r="I99" i="28"/>
  <c r="I96" i="28" s="1"/>
  <c r="J90" i="27"/>
  <c r="J89" i="27"/>
  <c r="K99" i="28"/>
  <c r="I95" i="28"/>
  <c r="H97" i="28"/>
  <c r="Q15" i="28"/>
  <c r="Q47" i="28" s="1"/>
  <c r="G75" i="25"/>
  <c r="U17" i="28"/>
  <c r="U49" i="28" s="1"/>
  <c r="U54" i="28"/>
  <c r="V17" i="28"/>
  <c r="V18" i="28"/>
  <c r="V15" i="28"/>
  <c r="T15" i="28"/>
  <c r="T22" i="28"/>
  <c r="V22" i="28"/>
  <c r="T17" i="28"/>
  <c r="Q17" i="28"/>
  <c r="K95" i="28"/>
  <c r="U22" i="28"/>
  <c r="U27" i="28" s="1"/>
  <c r="D81" i="28"/>
  <c r="K98" i="28"/>
  <c r="AA17" i="24"/>
  <c r="AA19" i="24" s="1"/>
  <c r="AA22" i="24" s="1"/>
  <c r="E67" i="24"/>
  <c r="AC17" i="24"/>
  <c r="E65" i="24"/>
  <c r="AA15" i="24"/>
  <c r="AB46" i="24" s="1"/>
  <c r="AB15" i="24"/>
  <c r="AC46" i="24" s="1"/>
  <c r="Y15" i="24"/>
  <c r="Y46" i="24" s="1"/>
  <c r="AC15" i="24"/>
  <c r="AA14" i="24"/>
  <c r="Y14" i="24"/>
  <c r="Y45" i="24" s="1"/>
  <c r="AC14" i="24"/>
  <c r="AB14" i="24"/>
  <c r="AC45" i="24" s="1"/>
  <c r="C35" i="29"/>
  <c r="D35" i="29" s="1"/>
  <c r="C39" i="29"/>
  <c r="D39" i="29" s="1"/>
  <c r="C37" i="29"/>
  <c r="D37" i="29" s="1"/>
  <c r="C32" i="29"/>
  <c r="D32" i="29" s="1"/>
  <c r="C33" i="29"/>
  <c r="D33" i="29" s="1"/>
  <c r="C31" i="29"/>
  <c r="D31" i="29" s="1"/>
  <c r="C38" i="29"/>
  <c r="D38" i="29" s="1"/>
  <c r="C34" i="29"/>
  <c r="D34" i="29" s="1"/>
  <c r="Z14" i="24"/>
  <c r="Z16" i="24" s="1"/>
  <c r="Z47" i="24" s="1"/>
  <c r="Z51" i="24" s="1"/>
  <c r="U18" i="28"/>
  <c r="U20" i="28" s="1"/>
  <c r="U26" i="28" s="1"/>
  <c r="Q18" i="28"/>
  <c r="D77" i="28"/>
  <c r="D75" i="28"/>
  <c r="Q22" i="28"/>
  <c r="Q54" i="28" s="1"/>
  <c r="D40" i="21"/>
  <c r="D39" i="21"/>
  <c r="D38" i="21"/>
  <c r="D37" i="21"/>
  <c r="D36" i="21"/>
  <c r="D35" i="21"/>
  <c r="D34" i="21"/>
  <c r="D33" i="21"/>
  <c r="D32" i="21"/>
  <c r="D31" i="21"/>
  <c r="D12" i="21"/>
  <c r="D11" i="21"/>
  <c r="D10" i="21"/>
  <c r="D9" i="21"/>
  <c r="D8" i="21"/>
  <c r="D7" i="21"/>
  <c r="D6" i="21"/>
  <c r="D5" i="21"/>
  <c r="D4" i="21"/>
  <c r="D3" i="21"/>
  <c r="J44" i="21"/>
  <c r="I44" i="21"/>
  <c r="H44" i="21"/>
  <c r="G44" i="21"/>
  <c r="F44" i="21"/>
  <c r="E44" i="21"/>
  <c r="D44" i="21"/>
  <c r="C44" i="21"/>
  <c r="B44" i="21"/>
  <c r="O55" i="21" s="1"/>
  <c r="A44" i="21"/>
  <c r="B40" i="21"/>
  <c r="C40" i="21" s="1"/>
  <c r="J45" i="21" s="1"/>
  <c r="B39" i="21"/>
  <c r="C39" i="21" s="1"/>
  <c r="I45" i="21" s="1"/>
  <c r="B38" i="21"/>
  <c r="C38" i="21" s="1"/>
  <c r="H45" i="21" s="1"/>
  <c r="B37" i="21"/>
  <c r="C37" i="21" s="1"/>
  <c r="G45" i="21" s="1"/>
  <c r="B36" i="21"/>
  <c r="C36" i="21" s="1"/>
  <c r="F45" i="21" s="1"/>
  <c r="B35" i="21"/>
  <c r="C35" i="21" s="1"/>
  <c r="E45" i="21" s="1"/>
  <c r="B34" i="21"/>
  <c r="C34" i="21" s="1"/>
  <c r="D45" i="21" s="1"/>
  <c r="B33" i="21"/>
  <c r="C33" i="21" s="1"/>
  <c r="C45" i="21" s="1"/>
  <c r="B32" i="21"/>
  <c r="C32" i="21" s="1"/>
  <c r="B45" i="21" s="1"/>
  <c r="B31" i="21"/>
  <c r="C31" i="21" s="1"/>
  <c r="A45" i="21" s="1"/>
  <c r="J16" i="21"/>
  <c r="I16" i="21"/>
  <c r="H16" i="21"/>
  <c r="G16" i="21"/>
  <c r="F16" i="21"/>
  <c r="E16" i="21"/>
  <c r="D16" i="21"/>
  <c r="C16" i="21"/>
  <c r="B16" i="21"/>
  <c r="A16" i="21"/>
  <c r="B12" i="21"/>
  <c r="C12" i="21" s="1"/>
  <c r="J17" i="21" s="1"/>
  <c r="B11" i="21"/>
  <c r="C11" i="21" s="1"/>
  <c r="I17" i="21" s="1"/>
  <c r="B10" i="21"/>
  <c r="C10" i="21" s="1"/>
  <c r="H17" i="21" s="1"/>
  <c r="B9" i="21"/>
  <c r="C9" i="21" s="1"/>
  <c r="G17" i="21" s="1"/>
  <c r="B8" i="21"/>
  <c r="C8" i="21" s="1"/>
  <c r="F17" i="21" s="1"/>
  <c r="B7" i="21"/>
  <c r="C7" i="21" s="1"/>
  <c r="E17" i="21" s="1"/>
  <c r="B6" i="21"/>
  <c r="C6" i="21" s="1"/>
  <c r="D17" i="21" s="1"/>
  <c r="B5" i="21"/>
  <c r="C5" i="21" s="1"/>
  <c r="C17" i="21" s="1"/>
  <c r="B4" i="21"/>
  <c r="C4" i="21" s="1"/>
  <c r="B17" i="21" s="1"/>
  <c r="B3" i="21"/>
  <c r="C3" i="21" s="1"/>
  <c r="A17" i="21" s="1"/>
  <c r="K96" i="28" l="1"/>
  <c r="V91" i="28"/>
  <c r="V96" i="28"/>
  <c r="V93" i="28"/>
  <c r="V92" i="28"/>
  <c r="D79" i="28"/>
  <c r="E87" i="28" s="1"/>
  <c r="D87" i="28" s="1"/>
  <c r="D76" i="28"/>
  <c r="R99" i="28" s="1"/>
  <c r="Q99" i="28" s="1"/>
  <c r="V99" i="28"/>
  <c r="V95" i="28"/>
  <c r="V98" i="28"/>
  <c r="U96" i="28"/>
  <c r="U91" i="28"/>
  <c r="U99" i="28"/>
  <c r="U92" i="28" s="1"/>
  <c r="U95" i="28"/>
  <c r="U98" i="28"/>
  <c r="U97" i="28"/>
  <c r="T85" i="24"/>
  <c r="V85" i="24" s="1"/>
  <c r="T84" i="24"/>
  <c r="T83" i="24"/>
  <c r="H67" i="24" s="1"/>
  <c r="H69" i="24" s="1"/>
  <c r="H72" i="24" s="1"/>
  <c r="H64" i="24"/>
  <c r="S85" i="24"/>
  <c r="Q84" i="24"/>
  <c r="R84" i="24" s="1"/>
  <c r="Q83" i="24"/>
  <c r="Q82" i="24"/>
  <c r="R82" i="24" s="1"/>
  <c r="F66" i="24"/>
  <c r="E66" i="24" s="1"/>
  <c r="E71" i="24" s="1"/>
  <c r="AA60" i="28"/>
  <c r="G94" i="27"/>
  <c r="V27" i="28"/>
  <c r="T27" i="28"/>
  <c r="X53" i="28"/>
  <c r="T53" i="28"/>
  <c r="E69" i="24"/>
  <c r="E72" i="24" s="1"/>
  <c r="E88" i="28"/>
  <c r="D88" i="28" s="1"/>
  <c r="Q27" i="28"/>
  <c r="D82" i="28"/>
  <c r="G98" i="27" s="1"/>
  <c r="Q60" i="28"/>
  <c r="Y54" i="28"/>
  <c r="T54" i="28"/>
  <c r="X54" i="28"/>
  <c r="Z47" i="28"/>
  <c r="Z48" i="28" s="1"/>
  <c r="Y47" i="28"/>
  <c r="X47" i="28"/>
  <c r="T47" i="28"/>
  <c r="T48" i="28" s="1"/>
  <c r="AA47" i="28"/>
  <c r="Z49" i="28"/>
  <c r="Y49" i="28"/>
  <c r="Y50" i="28" s="1"/>
  <c r="X49" i="28"/>
  <c r="X50" i="28" s="1"/>
  <c r="T49" i="28"/>
  <c r="T50" i="28" s="1"/>
  <c r="V47" i="28"/>
  <c r="Q48" i="28"/>
  <c r="Q24" i="28"/>
  <c r="T24" i="28"/>
  <c r="U51" i="28"/>
  <c r="E84" i="28"/>
  <c r="D84" i="28" s="1"/>
  <c r="T16" i="28"/>
  <c r="T19" i="28"/>
  <c r="T23" i="28" s="1"/>
  <c r="T18" i="28"/>
  <c r="U57" i="28"/>
  <c r="U60" i="28"/>
  <c r="V19" i="28"/>
  <c r="V23" i="28" s="1"/>
  <c r="V16" i="28"/>
  <c r="V20" i="28" s="1"/>
  <c r="V26" i="28" s="1"/>
  <c r="V24" i="28"/>
  <c r="AC47" i="24"/>
  <c r="AC51" i="24" s="1"/>
  <c r="AC55" i="24" s="1"/>
  <c r="AA48" i="24"/>
  <c r="AA50" i="24" s="1"/>
  <c r="AA53" i="24" s="1"/>
  <c r="U24" i="28"/>
  <c r="G95" i="27"/>
  <c r="G77" i="25"/>
  <c r="AB48" i="24"/>
  <c r="AB50" i="24" s="1"/>
  <c r="AB53" i="24" s="1"/>
  <c r="AC19" i="24"/>
  <c r="AC22" i="24" s="1"/>
  <c r="Y16" i="24"/>
  <c r="Y20" i="24" s="1"/>
  <c r="Y24" i="24" s="1"/>
  <c r="Y25" i="24" s="1"/>
  <c r="Y47" i="24"/>
  <c r="Y51" i="24" s="1"/>
  <c r="Y52" i="24" s="1"/>
  <c r="Y54" i="24" s="1"/>
  <c r="AC16" i="24"/>
  <c r="AB16" i="24"/>
  <c r="AB20" i="24" s="1"/>
  <c r="AB24" i="24" s="1"/>
  <c r="AA45" i="24"/>
  <c r="AA47" i="24" s="1"/>
  <c r="AA52" i="24" s="1"/>
  <c r="AA16" i="24"/>
  <c r="AB45" i="24"/>
  <c r="AB47" i="24" s="1"/>
  <c r="H32" i="29"/>
  <c r="G55" i="29" s="1"/>
  <c r="U19" i="28"/>
  <c r="U23" i="28"/>
  <c r="Q16" i="28"/>
  <c r="Q20" i="28" s="1"/>
  <c r="Q26" i="28" s="1"/>
  <c r="U28" i="28"/>
  <c r="K16" i="21"/>
  <c r="A18" i="21"/>
  <c r="E46" i="21"/>
  <c r="B46" i="21"/>
  <c r="K44" i="21"/>
  <c r="A46" i="21"/>
  <c r="J46" i="21"/>
  <c r="I46" i="21"/>
  <c r="H46" i="21"/>
  <c r="G46" i="21"/>
  <c r="F46" i="21"/>
  <c r="D46" i="21"/>
  <c r="C46" i="21"/>
  <c r="C18" i="21"/>
  <c r="F18" i="21"/>
  <c r="J18" i="21"/>
  <c r="I18" i="21"/>
  <c r="H18" i="21"/>
  <c r="G18" i="21"/>
  <c r="E18" i="21"/>
  <c r="D18" i="21"/>
  <c r="B18" i="21"/>
  <c r="H80" i="28" l="1"/>
  <c r="R92" i="28"/>
  <c r="Q92" i="28" s="1"/>
  <c r="R98" i="28"/>
  <c r="R95" i="28"/>
  <c r="R93" i="28"/>
  <c r="R94" i="28"/>
  <c r="R96" i="28"/>
  <c r="R97" i="28"/>
  <c r="R91" i="28"/>
  <c r="R83" i="24"/>
  <c r="H65" i="24" s="1"/>
  <c r="H81" i="28"/>
  <c r="S83" i="24"/>
  <c r="S82" i="24"/>
  <c r="E70" i="24"/>
  <c r="L66" i="24" s="1"/>
  <c r="D89" i="28"/>
  <c r="X60" i="28"/>
  <c r="T60" i="28"/>
  <c r="V83" i="24"/>
  <c r="V84" i="24"/>
  <c r="D72" i="28"/>
  <c r="G96" i="27" s="1"/>
  <c r="G103" i="27"/>
  <c r="D74" i="28"/>
  <c r="Q28" i="28"/>
  <c r="Z51" i="28"/>
  <c r="Z50" i="28"/>
  <c r="T25" i="28"/>
  <c r="U56" i="28"/>
  <c r="U58" i="28" s="1"/>
  <c r="U52" i="28"/>
  <c r="U59" i="28" s="1"/>
  <c r="U61" i="28" s="1"/>
  <c r="AA51" i="28"/>
  <c r="AA48" i="28"/>
  <c r="AA52" i="28" s="1"/>
  <c r="AC52" i="24"/>
  <c r="AC54" i="24" s="1"/>
  <c r="T57" i="28"/>
  <c r="T20" i="28"/>
  <c r="T26" i="28" s="1"/>
  <c r="T51" i="28"/>
  <c r="Q57" i="28"/>
  <c r="V48" i="28"/>
  <c r="X57" i="28"/>
  <c r="Y57" i="28"/>
  <c r="Y60" i="28"/>
  <c r="Y51" i="28"/>
  <c r="Y48" i="28"/>
  <c r="Y52" i="28" s="1"/>
  <c r="Y59" i="28" s="1"/>
  <c r="V25" i="28"/>
  <c r="V28" i="28"/>
  <c r="AA54" i="24"/>
  <c r="U25" i="28"/>
  <c r="G100" i="27"/>
  <c r="S84" i="24"/>
  <c r="AB52" i="24"/>
  <c r="AB54" i="24" s="1"/>
  <c r="Y21" i="24"/>
  <c r="Y23" i="24" s="1"/>
  <c r="AC21" i="24"/>
  <c r="AC23" i="24" s="1"/>
  <c r="AC20" i="24"/>
  <c r="Y55" i="24"/>
  <c r="Y56" i="24" s="1"/>
  <c r="AC56" i="24"/>
  <c r="AB51" i="24"/>
  <c r="AB55" i="24" s="1"/>
  <c r="AB56" i="24" s="1"/>
  <c r="AA51" i="24"/>
  <c r="AA55" i="24" s="1"/>
  <c r="AA56" i="24" s="1"/>
  <c r="AA21" i="24"/>
  <c r="AA23" i="24" s="1"/>
  <c r="AA20" i="24"/>
  <c r="AB21" i="24"/>
  <c r="AB23" i="24" s="1"/>
  <c r="AB25" i="24"/>
  <c r="G48" i="29"/>
  <c r="G76" i="25"/>
  <c r="X51" i="28"/>
  <c r="X48" i="28"/>
  <c r="X52" i="28" s="1"/>
  <c r="X59" i="28" s="1"/>
  <c r="A20" i="21"/>
  <c r="B19" i="21"/>
  <c r="B20" i="21" s="1"/>
  <c r="G19" i="21"/>
  <c r="G20" i="21" s="1"/>
  <c r="F19" i="21"/>
  <c r="F20" i="21" s="1"/>
  <c r="A48" i="21"/>
  <c r="H47" i="21"/>
  <c r="H48" i="21" s="1"/>
  <c r="D47" i="21"/>
  <c r="D48" i="21" s="1"/>
  <c r="F47" i="21"/>
  <c r="F48" i="21" s="1"/>
  <c r="I47" i="21"/>
  <c r="I48" i="21" s="1"/>
  <c r="G47" i="21"/>
  <c r="G48" i="21" s="1"/>
  <c r="C47" i="21"/>
  <c r="C48" i="21" s="1"/>
  <c r="J47" i="21"/>
  <c r="J48" i="21" s="1"/>
  <c r="B47" i="21"/>
  <c r="B48" i="21" s="1"/>
  <c r="E47" i="21"/>
  <c r="E48" i="21" s="1"/>
  <c r="O57" i="21" a="1"/>
  <c r="O57" i="21" s="1"/>
  <c r="C19" i="21"/>
  <c r="H19" i="21"/>
  <c r="H20" i="21" s="1"/>
  <c r="J19" i="21"/>
  <c r="J20" i="21" s="1"/>
  <c r="I19" i="21"/>
  <c r="I20" i="21" s="1"/>
  <c r="H82" i="28" l="1"/>
  <c r="Q97" i="28"/>
  <c r="T97" i="28" s="1"/>
  <c r="Q95" i="28"/>
  <c r="T95" i="28" s="1"/>
  <c r="Q96" i="28"/>
  <c r="T96" i="28" s="1"/>
  <c r="Q98" i="28"/>
  <c r="T98" i="28" s="1"/>
  <c r="Q93" i="28"/>
  <c r="T93" i="28" s="1"/>
  <c r="Q94" i="28"/>
  <c r="T94" i="28" s="1"/>
  <c r="Q91" i="28"/>
  <c r="T91" i="28" s="1"/>
  <c r="P91" i="28"/>
  <c r="P98" i="28"/>
  <c r="P97" i="28"/>
  <c r="P95" i="28"/>
  <c r="P99" i="28"/>
  <c r="P94" i="28"/>
  <c r="P96" i="28"/>
  <c r="J77" i="25"/>
  <c r="I66" i="24"/>
  <c r="H66" i="24" s="1"/>
  <c r="J78" i="25"/>
  <c r="D90" i="28"/>
  <c r="G105" i="27" s="1"/>
  <c r="T99" i="28"/>
  <c r="T92" i="28" s="1"/>
  <c r="Z52" i="24"/>
  <c r="Z54" i="24" s="1"/>
  <c r="Z55" i="24"/>
  <c r="E73" i="24"/>
  <c r="E78" i="28"/>
  <c r="D78" i="28" s="1"/>
  <c r="AC24" i="24"/>
  <c r="AC25" i="24" s="1"/>
  <c r="AA24" i="24"/>
  <c r="AA25" i="24" s="1"/>
  <c r="T28" i="28"/>
  <c r="Z56" i="28"/>
  <c r="Z58" i="28" s="1"/>
  <c r="Z52" i="28"/>
  <c r="Z59" i="28" s="1"/>
  <c r="Z61" i="28" s="1"/>
  <c r="AA56" i="28"/>
  <c r="AA58" i="28" s="1"/>
  <c r="T56" i="28"/>
  <c r="T58" i="28" s="1"/>
  <c r="T52" i="28"/>
  <c r="T59" i="28" s="1"/>
  <c r="J95" i="27"/>
  <c r="AA59" i="28"/>
  <c r="AA61" i="28" s="1"/>
  <c r="Y56" i="28"/>
  <c r="Y58" i="28" s="1"/>
  <c r="X61" i="28"/>
  <c r="X56" i="28"/>
  <c r="G104" i="27"/>
  <c r="J75" i="25"/>
  <c r="Y61" i="28"/>
  <c r="J76" i="25"/>
  <c r="L48" i="21" a="1"/>
  <c r="L48" i="21" s="1"/>
  <c r="P45" i="21"/>
  <c r="H77" i="28" l="1"/>
  <c r="H76" i="28"/>
  <c r="O96" i="28"/>
  <c r="S96" i="28" s="1"/>
  <c r="O97" i="28"/>
  <c r="S97" i="28" s="1"/>
  <c r="O98" i="28"/>
  <c r="S98" i="28" s="1"/>
  <c r="P92" i="28"/>
  <c r="O92" i="28" s="1"/>
  <c r="O99" i="28"/>
  <c r="O95" i="28"/>
  <c r="S95" i="28" s="1"/>
  <c r="O94" i="28"/>
  <c r="S94" i="28" s="1"/>
  <c r="O91" i="28"/>
  <c r="S91" i="28" s="1"/>
  <c r="H71" i="24"/>
  <c r="H73" i="24" s="1"/>
  <c r="H74" i="24" s="1"/>
  <c r="H70" i="24"/>
  <c r="H75" i="24" s="1"/>
  <c r="I88" i="28"/>
  <c r="I84" i="28"/>
  <c r="E75" i="24"/>
  <c r="X58" i="28"/>
  <c r="T61" i="28"/>
  <c r="G106" i="27"/>
  <c r="L49" i="21"/>
  <c r="H74" i="28" l="1"/>
  <c r="H90" i="28" s="1"/>
  <c r="J105" i="27" s="1"/>
  <c r="H75" i="28"/>
  <c r="H79" i="28" s="1"/>
  <c r="H72" i="28" s="1"/>
  <c r="S99" i="28"/>
  <c r="S92" i="28" s="1"/>
  <c r="I78" i="28" l="1"/>
  <c r="H78" i="28" s="1" a="1"/>
  <c r="H78" i="28" s="1"/>
  <c r="M85" i="28" l="1"/>
  <c r="L83" i="28"/>
  <c r="D19" i="21"/>
  <c r="E19" i="21"/>
  <c r="E20" i="21" s="1"/>
  <c r="C20" i="21" l="1"/>
  <c r="D20" i="21"/>
  <c r="L20" i="21" l="1" a="1"/>
  <c r="L20" i="21" s="1"/>
  <c r="L21" i="21" s="1"/>
  <c r="Q49" i="28" l="1"/>
  <c r="Q51" i="28" s="1"/>
  <c r="Q56" i="28" s="1"/>
  <c r="V49" i="28"/>
  <c r="V51" i="28" l="1"/>
  <c r="V50" i="28"/>
  <c r="G80" i="25"/>
  <c r="G79" i="25"/>
  <c r="G82" i="25" l="1"/>
  <c r="E76" i="24"/>
  <c r="J80" i="25" l="1"/>
  <c r="J81" i="25" s="1"/>
  <c r="J82" i="25"/>
  <c r="J79" i="25"/>
  <c r="H76" i="24" l="1"/>
  <c r="Q19" i="28"/>
  <c r="Q23" i="28" s="1"/>
  <c r="Q25" i="28" s="1"/>
  <c r="G92" i="27"/>
  <c r="G93" i="27"/>
  <c r="Q50" i="28"/>
  <c r="Q52" i="28" s="1"/>
  <c r="Q59" i="28" s="1"/>
  <c r="C83" i="28" l="1"/>
  <c r="E85" i="28" s="1"/>
  <c r="V52" i="28"/>
  <c r="Q61" i="28"/>
  <c r="V61" i="28" l="1"/>
  <c r="V56" i="28"/>
  <c r="V58" i="28" s="1"/>
  <c r="J98" i="27"/>
  <c r="J94" i="27"/>
  <c r="H88" i="28" a="1"/>
  <c r="H88" i="28" s="1"/>
  <c r="J104" i="27" s="1"/>
  <c r="H84" i="28" a="1"/>
  <c r="H84" i="28" s="1"/>
  <c r="J100" i="27" s="1"/>
  <c r="D83" i="28"/>
  <c r="J93" i="27"/>
  <c r="G97" i="27"/>
  <c r="H102" i="28"/>
  <c r="I102" i="28" s="1"/>
  <c r="H104" i="28"/>
  <c r="I104" i="28" s="1"/>
  <c r="D85" i="28"/>
  <c r="H109" i="28"/>
  <c r="I109" i="28" s="1"/>
  <c r="H103" i="28"/>
  <c r="I103" i="28" s="1"/>
  <c r="H108" i="28"/>
  <c r="H106" i="28"/>
  <c r="H105" i="28"/>
  <c r="I105" i="28" s="1"/>
  <c r="H107" i="28"/>
  <c r="I107" i="28" s="1"/>
  <c r="Q58" i="28"/>
  <c r="J92" i="27"/>
  <c r="I87" i="28" l="1"/>
  <c r="H87" i="28" s="1" a="1"/>
  <c r="H87" i="28" s="1"/>
  <c r="M83" i="28"/>
  <c r="N83" i="28" s="1"/>
  <c r="G101" i="27"/>
  <c r="G99" i="27"/>
  <c r="H89" i="28" l="1"/>
  <c r="J106" i="27" s="1"/>
  <c r="H83" i="28" a="1"/>
  <c r="H83" i="28" s="1"/>
  <c r="I85" i="28" s="1"/>
  <c r="J96" i="27"/>
  <c r="J97" i="27" s="1"/>
  <c r="K107" i="28"/>
  <c r="L107" i="28" s="1"/>
  <c r="K104" i="28"/>
  <c r="L104" i="28" s="1"/>
  <c r="K106" i="28"/>
  <c r="K102" i="28"/>
  <c r="L102" i="28" s="1"/>
  <c r="K105" i="28"/>
  <c r="L105" i="28" s="1"/>
  <c r="K108" i="28"/>
  <c r="K103" i="28"/>
  <c r="L103" i="28" s="1"/>
  <c r="K109" i="28"/>
  <c r="L109" i="28" s="1"/>
  <c r="J103" i="27" l="1"/>
  <c r="J99" i="27"/>
  <c r="H85" i="28" a="1"/>
  <c r="H85" i="28" s="1"/>
  <c r="H86" i="28" s="1"/>
  <c r="J101" i="27" l="1"/>
  <c r="J102"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<sst xmlns="http://schemas.openxmlformats.org/spreadsheetml/2006/main" count="3610" uniqueCount="982">
  <si>
    <t>A重油</t>
    <rPh sb="1" eb="3">
      <t>ジュウユ</t>
    </rPh>
    <phoneticPr fontId="7"/>
  </si>
  <si>
    <t>C重油</t>
    <rPh sb="1" eb="3">
      <t>ジュウユ</t>
    </rPh>
    <phoneticPr fontId="7"/>
  </si>
  <si>
    <t>灯油</t>
    <rPh sb="0" eb="2">
      <t>トウユ</t>
    </rPh>
    <phoneticPr fontId="7"/>
  </si>
  <si>
    <t>LPG</t>
    <phoneticPr fontId="7"/>
  </si>
  <si>
    <t>LNG</t>
    <phoneticPr fontId="7"/>
  </si>
  <si>
    <t>都市ガス</t>
    <rPh sb="0" eb="2">
      <t>トシ</t>
    </rPh>
    <phoneticPr fontId="7"/>
  </si>
  <si>
    <t>導入設備</t>
    <rPh sb="0" eb="4">
      <t>ドウニュウセツビ</t>
    </rPh>
    <phoneticPr fontId="7"/>
  </si>
  <si>
    <t>LPG(液)</t>
    <rPh sb="4" eb="5">
      <t>エキ</t>
    </rPh>
    <phoneticPr fontId="7"/>
  </si>
  <si>
    <t>LPG(ガス)</t>
    <phoneticPr fontId="7"/>
  </si>
  <si>
    <t>都市ガス(Nm3)</t>
    <rPh sb="0" eb="2">
      <t>トシ</t>
    </rPh>
    <phoneticPr fontId="7"/>
  </si>
  <si>
    <t>都市ガス(m3)</t>
    <rPh sb="0" eb="2">
      <t>トシ</t>
    </rPh>
    <phoneticPr fontId="7"/>
  </si>
  <si>
    <t>GJ/t</t>
    <phoneticPr fontId="7"/>
  </si>
  <si>
    <t>GJ/千m3</t>
    <rPh sb="3" eb="4">
      <t>セン</t>
    </rPh>
    <phoneticPr fontId="7"/>
  </si>
  <si>
    <t>GJ/千Nm3</t>
    <rPh sb="3" eb="4">
      <t>セン</t>
    </rPh>
    <phoneticPr fontId="7"/>
  </si>
  <si>
    <t>t/年</t>
    <rPh sb="2" eb="3">
      <t>ネン</t>
    </rPh>
    <phoneticPr fontId="7"/>
  </si>
  <si>
    <t>千Nm3/年</t>
    <rPh sb="0" eb="1">
      <t>セン</t>
    </rPh>
    <rPh sb="5" eb="6">
      <t>ネン</t>
    </rPh>
    <phoneticPr fontId="7"/>
  </si>
  <si>
    <t>千m3/年</t>
    <rPh sb="0" eb="1">
      <t>セン</t>
    </rPh>
    <rPh sb="4" eb="5">
      <t>ネン</t>
    </rPh>
    <phoneticPr fontId="7"/>
  </si>
  <si>
    <t>※</t>
    <phoneticPr fontId="7"/>
  </si>
  <si>
    <t>選択</t>
    <rPh sb="0" eb="2">
      <t>センタク</t>
    </rPh>
    <phoneticPr fontId="7"/>
  </si>
  <si>
    <t>入力</t>
    <rPh sb="0" eb="2">
      <t>ニュウリョク</t>
    </rPh>
    <phoneticPr fontId="7"/>
  </si>
  <si>
    <t>ボイラ効率</t>
    <rPh sb="3" eb="5">
      <t>コウリツ</t>
    </rPh>
    <phoneticPr fontId="7"/>
  </si>
  <si>
    <t>A重油</t>
    <phoneticPr fontId="7"/>
  </si>
  <si>
    <t>b</t>
    <phoneticPr fontId="7"/>
  </si>
  <si>
    <t>既存設備</t>
    <rPh sb="0" eb="4">
      <t>キゾンセツビ</t>
    </rPh>
    <phoneticPr fontId="7"/>
  </si>
  <si>
    <t>c=a×ｂ</t>
    <phoneticPr fontId="7"/>
  </si>
  <si>
    <t>項    目</t>
    <rPh sb="0" eb="1">
      <t>コウ</t>
    </rPh>
    <rPh sb="5" eb="6">
      <t>メ</t>
    </rPh>
    <phoneticPr fontId="7"/>
  </si>
  <si>
    <t>kL/年</t>
    <rPh sb="3" eb="4">
      <t>ネン</t>
    </rPh>
    <phoneticPr fontId="7"/>
  </si>
  <si>
    <t>GJ/kL</t>
    <phoneticPr fontId="7"/>
  </si>
  <si>
    <t>木質ペレット</t>
    <rPh sb="0" eb="2">
      <t>モクシツ</t>
    </rPh>
    <phoneticPr fontId="7"/>
  </si>
  <si>
    <t>a（高）</t>
    <rPh sb="2" eb="3">
      <t>コウ</t>
    </rPh>
    <phoneticPr fontId="7"/>
  </si>
  <si>
    <t>導入前</t>
    <rPh sb="0" eb="3">
      <t>ドウニュウマエ</t>
    </rPh>
    <phoneticPr fontId="7"/>
  </si>
  <si>
    <r>
      <t>燃料使用量：Q</t>
    </r>
    <r>
      <rPr>
        <vertAlign val="subscript"/>
        <sz val="10.5"/>
        <color theme="1"/>
        <rFont val="メイリオ"/>
        <family val="3"/>
        <charset val="128"/>
      </rPr>
      <t>1</t>
    </r>
    <r>
      <rPr>
        <sz val="10.5"/>
        <color theme="1"/>
        <rFont val="メイリオ"/>
        <family val="3"/>
        <charset val="128"/>
      </rPr>
      <t>［kl/年］、[t/年]または［千Nm3/年］</t>
    </r>
  </si>
  <si>
    <r>
      <t>ボイラー燃料使用量：1～10号機q</t>
    </r>
    <r>
      <rPr>
        <vertAlign val="subscript"/>
        <sz val="10.5"/>
        <color theme="1"/>
        <rFont val="メイリオ"/>
        <family val="3"/>
        <charset val="128"/>
      </rPr>
      <t>1</t>
    </r>
    <r>
      <rPr>
        <sz val="10.5"/>
        <color theme="1"/>
        <rFont val="メイリオ"/>
        <family val="3"/>
        <charset val="128"/>
      </rPr>
      <t>～</t>
    </r>
    <r>
      <rPr>
        <vertAlign val="subscript"/>
        <sz val="10.5"/>
        <color theme="1"/>
        <rFont val="メイリオ"/>
        <family val="3"/>
        <charset val="128"/>
      </rPr>
      <t>10</t>
    </r>
    <r>
      <rPr>
        <sz val="10.5"/>
        <color theme="1"/>
        <rFont val="メイリオ"/>
        <family val="3"/>
        <charset val="128"/>
      </rPr>
      <t xml:space="preserve"> [kl/年]、[t/年]または［千Nm3/年］</t>
    </r>
  </si>
  <si>
    <r>
      <t>ボイラー出力（相当蒸発量）：W</t>
    </r>
    <r>
      <rPr>
        <vertAlign val="subscript"/>
        <sz val="10.5"/>
        <color theme="1"/>
        <rFont val="メイリオ"/>
        <family val="3"/>
        <charset val="128"/>
      </rPr>
      <t>1</t>
    </r>
    <r>
      <rPr>
        <sz val="10.5"/>
        <color theme="1"/>
        <rFont val="メイリオ"/>
        <family val="3"/>
        <charset val="128"/>
      </rPr>
      <t>～W</t>
    </r>
    <r>
      <rPr>
        <vertAlign val="subscript"/>
        <sz val="10.5"/>
        <color theme="1"/>
        <rFont val="メイリオ"/>
        <family val="3"/>
        <charset val="128"/>
      </rPr>
      <t>10</t>
    </r>
    <r>
      <rPr>
        <sz val="10.5"/>
        <color theme="1"/>
        <rFont val="メイリオ"/>
        <family val="3"/>
        <charset val="128"/>
      </rPr>
      <t>［kg/h］</t>
    </r>
  </si>
  <si>
    <r>
      <t>ボイラー効率：η</t>
    </r>
    <r>
      <rPr>
        <vertAlign val="subscript"/>
        <sz val="10.5"/>
        <color theme="1"/>
        <rFont val="メイリオ"/>
        <family val="3"/>
        <charset val="128"/>
      </rPr>
      <t>1</t>
    </r>
    <r>
      <rPr>
        <sz val="10.5"/>
        <color theme="1"/>
        <rFont val="メイリオ"/>
        <family val="3"/>
        <charset val="128"/>
      </rPr>
      <t>～η</t>
    </r>
    <r>
      <rPr>
        <vertAlign val="subscript"/>
        <sz val="10.5"/>
        <color theme="1"/>
        <rFont val="メイリオ"/>
        <family val="3"/>
        <charset val="128"/>
      </rPr>
      <t>10</t>
    </r>
    <r>
      <rPr>
        <sz val="10.5"/>
        <color theme="1"/>
        <rFont val="メイリオ"/>
        <family val="3"/>
        <charset val="128"/>
      </rPr>
      <t>[％]</t>
    </r>
  </si>
  <si>
    <r>
      <t>ボイラー平均効率：η</t>
    </r>
    <r>
      <rPr>
        <vertAlign val="subscript"/>
        <sz val="10.5"/>
        <color theme="1"/>
        <rFont val="メイリオ"/>
        <family val="3"/>
        <charset val="128"/>
      </rPr>
      <t>A</t>
    </r>
    <r>
      <rPr>
        <sz val="10.5"/>
        <color theme="1"/>
        <rFont val="メイリオ"/>
        <family val="3"/>
        <charset val="128"/>
      </rPr>
      <t xml:space="preserve"> [％]</t>
    </r>
  </si>
  <si>
    <r>
      <t>燃料真発熱量（低位発熱量）：HL</t>
    </r>
    <r>
      <rPr>
        <vertAlign val="subscript"/>
        <sz val="10.5"/>
        <color theme="1"/>
        <rFont val="メイリオ"/>
        <family val="3"/>
        <charset val="128"/>
      </rPr>
      <t>1</t>
    </r>
    <r>
      <rPr>
        <sz val="10.5"/>
        <color theme="1"/>
        <rFont val="メイリオ"/>
        <family val="3"/>
        <charset val="128"/>
      </rPr>
      <t>［GJ/kl］、[GJ/t]または［GJ/千Nm3］</t>
    </r>
  </si>
  <si>
    <t>１号機</t>
    <rPh sb="1" eb="3">
      <t>ゴウキ</t>
    </rPh>
    <phoneticPr fontId="7"/>
  </si>
  <si>
    <t>２号機</t>
    <rPh sb="1" eb="3">
      <t>ゴウキ</t>
    </rPh>
    <phoneticPr fontId="7"/>
  </si>
  <si>
    <t>３号機</t>
    <rPh sb="1" eb="3">
      <t>ゴウキ</t>
    </rPh>
    <phoneticPr fontId="7"/>
  </si>
  <si>
    <t>４号機</t>
    <rPh sb="1" eb="3">
      <t>ゴウキ</t>
    </rPh>
    <phoneticPr fontId="7"/>
  </si>
  <si>
    <t>５号機</t>
    <rPh sb="1" eb="3">
      <t>ゴウキ</t>
    </rPh>
    <phoneticPr fontId="7"/>
  </si>
  <si>
    <t>６号機</t>
    <rPh sb="1" eb="3">
      <t>ゴウキ</t>
    </rPh>
    <phoneticPr fontId="7"/>
  </si>
  <si>
    <t>７号機</t>
    <rPh sb="1" eb="3">
      <t>ゴウキ</t>
    </rPh>
    <phoneticPr fontId="7"/>
  </si>
  <si>
    <t>８号機</t>
    <rPh sb="1" eb="3">
      <t>ゴウキ</t>
    </rPh>
    <phoneticPr fontId="7"/>
  </si>
  <si>
    <t>９号機</t>
    <rPh sb="1" eb="3">
      <t>ゴウキ</t>
    </rPh>
    <phoneticPr fontId="7"/>
  </si>
  <si>
    <t>合計</t>
    <rPh sb="0" eb="2">
      <t>ゴウケイ</t>
    </rPh>
    <phoneticPr fontId="7"/>
  </si>
  <si>
    <t>導入後</t>
    <rPh sb="0" eb="3">
      <t>ドウニュウゴ</t>
    </rPh>
    <phoneticPr fontId="7"/>
  </si>
  <si>
    <t>11号機</t>
    <rPh sb="2" eb="4">
      <t>ゴウキ</t>
    </rPh>
    <phoneticPr fontId="7"/>
  </si>
  <si>
    <t>12号機</t>
    <rPh sb="2" eb="4">
      <t>ゴウキ</t>
    </rPh>
    <phoneticPr fontId="7"/>
  </si>
  <si>
    <t>13号機</t>
    <rPh sb="2" eb="4">
      <t>ゴウキ</t>
    </rPh>
    <phoneticPr fontId="7"/>
  </si>
  <si>
    <t>14号機</t>
    <rPh sb="2" eb="4">
      <t>ゴウキ</t>
    </rPh>
    <phoneticPr fontId="7"/>
  </si>
  <si>
    <t>15号機</t>
    <rPh sb="2" eb="4">
      <t>ゴウキ</t>
    </rPh>
    <phoneticPr fontId="7"/>
  </si>
  <si>
    <t>16号機</t>
    <rPh sb="2" eb="4">
      <t>ゴウキ</t>
    </rPh>
    <phoneticPr fontId="7"/>
  </si>
  <si>
    <t>17号機</t>
    <rPh sb="2" eb="4">
      <t>ゴウキ</t>
    </rPh>
    <phoneticPr fontId="7"/>
  </si>
  <si>
    <t>18号機</t>
    <rPh sb="2" eb="4">
      <t>ゴウキ</t>
    </rPh>
    <phoneticPr fontId="7"/>
  </si>
  <si>
    <t>19号機</t>
    <rPh sb="2" eb="4">
      <t>ゴウキ</t>
    </rPh>
    <phoneticPr fontId="7"/>
  </si>
  <si>
    <t>20号機</t>
    <rPh sb="2" eb="4">
      <t>ゴウキ</t>
    </rPh>
    <phoneticPr fontId="7"/>
  </si>
  <si>
    <t>10号機</t>
    <rPh sb="2" eb="4">
      <t>ゴウキ</t>
    </rPh>
    <phoneticPr fontId="7"/>
  </si>
  <si>
    <t>W(相当蒸発量 kg/h）</t>
  </si>
  <si>
    <t>η</t>
    <phoneticPr fontId="7"/>
  </si>
  <si>
    <t>電気</t>
    <rPh sb="0" eb="2">
      <t>デンキ</t>
    </rPh>
    <phoneticPr fontId="7"/>
  </si>
  <si>
    <t>GJ/千kWh</t>
    <rPh sb="3" eb="4">
      <t>セン</t>
    </rPh>
    <phoneticPr fontId="7"/>
  </si>
  <si>
    <t>千kWh/年</t>
    <rPh sb="5" eb="6">
      <t>ネン</t>
    </rPh>
    <phoneticPr fontId="7"/>
  </si>
  <si>
    <t>千kWh/年</t>
    <rPh sb="0" eb="1">
      <t>セン</t>
    </rPh>
    <rPh sb="5" eb="6">
      <t>ネン</t>
    </rPh>
    <phoneticPr fontId="7"/>
  </si>
  <si>
    <t>GJ/年</t>
    <rPh sb="3" eb="4">
      <t>ネン</t>
    </rPh>
    <phoneticPr fontId="7"/>
  </si>
  <si>
    <t>千円/kL</t>
    <rPh sb="0" eb="2">
      <t>センエン</t>
    </rPh>
    <phoneticPr fontId="7"/>
  </si>
  <si>
    <t>千円/t</t>
    <rPh sb="0" eb="2">
      <t>センエン</t>
    </rPh>
    <phoneticPr fontId="7"/>
  </si>
  <si>
    <t>千円/千kWh</t>
    <rPh sb="0" eb="2">
      <t>センエン</t>
    </rPh>
    <rPh sb="3" eb="4">
      <t>セン</t>
    </rPh>
    <phoneticPr fontId="7"/>
  </si>
  <si>
    <t>η(効率/100)</t>
    <phoneticPr fontId="7"/>
  </si>
  <si>
    <t>W</t>
    <phoneticPr fontId="7"/>
  </si>
  <si>
    <t>W</t>
    <phoneticPr fontId="7"/>
  </si>
  <si>
    <t>η</t>
  </si>
  <si>
    <t>最後のデータ</t>
    <rPh sb="0" eb="2">
      <t>サイゴ</t>
    </rPh>
    <phoneticPr fontId="7"/>
  </si>
  <si>
    <t>%</t>
    <phoneticPr fontId="7"/>
  </si>
  <si>
    <t>千円/千Nm3</t>
    <rPh sb="0" eb="2">
      <t>センエン</t>
    </rPh>
    <rPh sb="3" eb="4">
      <t>セン</t>
    </rPh>
    <phoneticPr fontId="7"/>
  </si>
  <si>
    <t>千円/千m3</t>
    <rPh sb="0" eb="2">
      <t>センエン</t>
    </rPh>
    <rPh sb="3" eb="4">
      <t>セン</t>
    </rPh>
    <phoneticPr fontId="7"/>
  </si>
  <si>
    <t>設備全体</t>
  </si>
  <si>
    <t>②</t>
    <phoneticPr fontId="7"/>
  </si>
  <si>
    <t>①</t>
    <phoneticPr fontId="7"/>
  </si>
  <si>
    <t>設備全体（冷房）</t>
    <rPh sb="5" eb="7">
      <t>レイボウ</t>
    </rPh>
    <phoneticPr fontId="7"/>
  </si>
  <si>
    <t>設備全体（暖房）</t>
    <rPh sb="5" eb="7">
      <t>ダンボウ</t>
    </rPh>
    <phoneticPr fontId="7"/>
  </si>
  <si>
    <t>③</t>
    <phoneticPr fontId="7"/>
  </si>
  <si>
    <t>④</t>
    <phoneticPr fontId="7"/>
  </si>
  <si>
    <t>設備本体（冷房）</t>
    <rPh sb="0" eb="2">
      <t>セツビ</t>
    </rPh>
    <rPh sb="2" eb="4">
      <t>ホンタイ</t>
    </rPh>
    <rPh sb="5" eb="7">
      <t>レイボウ</t>
    </rPh>
    <phoneticPr fontId="7"/>
  </si>
  <si>
    <t>設備本体（暖房）</t>
    <rPh sb="0" eb="2">
      <t>セツビ</t>
    </rPh>
    <rPh sb="2" eb="4">
      <t>ホンタイ</t>
    </rPh>
    <rPh sb="5" eb="7">
      <t>ダンボウ</t>
    </rPh>
    <phoneticPr fontId="7"/>
  </si>
  <si>
    <t>1で選択した設備の電力使用量を①～④の当てはまる様式にいずれか1つ入力してください。</t>
    <rPh sb="2" eb="4">
      <t>センタク</t>
    </rPh>
    <rPh sb="6" eb="8">
      <t>セツビ</t>
    </rPh>
    <rPh sb="9" eb="14">
      <t>デンリョクシヨウリョウ</t>
    </rPh>
    <rPh sb="19" eb="20">
      <t>ア</t>
    </rPh>
    <rPh sb="24" eb="26">
      <t>ヨウシキ</t>
    </rPh>
    <rPh sb="33" eb="35">
      <t>ニュウリョク</t>
    </rPh>
    <phoneticPr fontId="7"/>
  </si>
  <si>
    <t>冷房能力</t>
    <rPh sb="0" eb="2">
      <t>レイボウ</t>
    </rPh>
    <rPh sb="2" eb="4">
      <t>ノウリョク</t>
    </rPh>
    <phoneticPr fontId="7"/>
  </si>
  <si>
    <t>暖房能力</t>
    <rPh sb="0" eb="2">
      <t>ダンボウ</t>
    </rPh>
    <rPh sb="2" eb="4">
      <t>ノウリョク</t>
    </rPh>
    <phoneticPr fontId="7"/>
  </si>
  <si>
    <t>冷房消費電力</t>
    <rPh sb="0" eb="2">
      <t>レイボウ</t>
    </rPh>
    <rPh sb="2" eb="4">
      <t>ショウヒ</t>
    </rPh>
    <rPh sb="4" eb="6">
      <t>デンリョク</t>
    </rPh>
    <phoneticPr fontId="7"/>
  </si>
  <si>
    <t>暖房消費電力</t>
    <rPh sb="0" eb="2">
      <t>ダンボウ</t>
    </rPh>
    <rPh sb="2" eb="4">
      <t>ショウヒ</t>
    </rPh>
    <rPh sb="4" eb="6">
      <t>デンリョク</t>
    </rPh>
    <phoneticPr fontId="7"/>
  </si>
  <si>
    <t>主機冷房消費電力</t>
    <rPh sb="0" eb="1">
      <t>シュ</t>
    </rPh>
    <rPh sb="1" eb="2">
      <t>キ</t>
    </rPh>
    <rPh sb="2" eb="4">
      <t>レイボウ</t>
    </rPh>
    <rPh sb="4" eb="6">
      <t>ショウヒ</t>
    </rPh>
    <rPh sb="6" eb="8">
      <t>デンリョク</t>
    </rPh>
    <phoneticPr fontId="7"/>
  </si>
  <si>
    <t>主機暖房消費電力</t>
    <rPh sb="0" eb="1">
      <t>シュ</t>
    </rPh>
    <rPh sb="1" eb="2">
      <t>キ</t>
    </rPh>
    <rPh sb="2" eb="4">
      <t>ダンボウ</t>
    </rPh>
    <rPh sb="4" eb="6">
      <t>ショウヒ</t>
    </rPh>
    <rPh sb="6" eb="8">
      <t>デンリョク</t>
    </rPh>
    <phoneticPr fontId="7"/>
  </si>
  <si>
    <t>設備名</t>
    <rPh sb="0" eb="3">
      <t>セツビメイ</t>
    </rPh>
    <phoneticPr fontId="7"/>
  </si>
  <si>
    <t>定格冷房能力</t>
    <rPh sb="0" eb="2">
      <t>テイカク</t>
    </rPh>
    <rPh sb="2" eb="6">
      <t>レイボウノウリョク</t>
    </rPh>
    <phoneticPr fontId="7"/>
  </si>
  <si>
    <t>定格暖房能力</t>
    <rPh sb="0" eb="2">
      <t>テイカク</t>
    </rPh>
    <rPh sb="2" eb="4">
      <t>ダンボウ</t>
    </rPh>
    <rPh sb="4" eb="6">
      <t>ノウリョク</t>
    </rPh>
    <phoneticPr fontId="7"/>
  </si>
  <si>
    <t>定格冷房COP</t>
    <rPh sb="0" eb="2">
      <t>テイカク</t>
    </rPh>
    <rPh sb="2" eb="4">
      <t>レイボウ</t>
    </rPh>
    <phoneticPr fontId="7"/>
  </si>
  <si>
    <t>定格暖房COP</t>
    <phoneticPr fontId="7"/>
  </si>
  <si>
    <t>(kWh/年)</t>
    <rPh sb="5" eb="6">
      <t>ネン</t>
    </rPh>
    <phoneticPr fontId="7"/>
  </si>
  <si>
    <t>(kW)</t>
    <phoneticPr fontId="7"/>
  </si>
  <si>
    <t>電気料金</t>
    <rPh sb="0" eb="2">
      <t>デンキ</t>
    </rPh>
    <rPh sb="2" eb="4">
      <t>リョウキン</t>
    </rPh>
    <phoneticPr fontId="7"/>
  </si>
  <si>
    <t>既存</t>
    <rPh sb="0" eb="2">
      <t>キゾン</t>
    </rPh>
    <phoneticPr fontId="7"/>
  </si>
  <si>
    <t>導入</t>
    <rPh sb="0" eb="2">
      <t>ドウニュウ</t>
    </rPh>
    <phoneticPr fontId="7"/>
  </si>
  <si>
    <t>step2</t>
    <phoneticPr fontId="7"/>
  </si>
  <si>
    <r>
      <t>(t‐CO</t>
    </r>
    <r>
      <rPr>
        <vertAlign val="subscript"/>
        <sz val="8"/>
        <color theme="1"/>
        <rFont val="メイリオ"/>
        <family val="3"/>
        <charset val="128"/>
      </rPr>
      <t>2</t>
    </r>
    <r>
      <rPr>
        <sz val="8"/>
        <color theme="1"/>
        <rFont val="メイリオ"/>
        <family val="3"/>
        <charset val="128"/>
      </rPr>
      <t>/年)</t>
    </r>
    <rPh sb="7" eb="8">
      <t>ネン</t>
    </rPh>
    <phoneticPr fontId="7"/>
  </si>
  <si>
    <r>
      <t>(t‐CO</t>
    </r>
    <r>
      <rPr>
        <vertAlign val="subscript"/>
        <sz val="8"/>
        <color theme="1"/>
        <rFont val="メイリオ"/>
        <family val="3"/>
        <charset val="128"/>
      </rPr>
      <t>2</t>
    </r>
    <r>
      <rPr>
        <sz val="8"/>
        <color theme="1"/>
        <rFont val="メイリオ"/>
        <family val="3"/>
        <charset val="128"/>
      </rPr>
      <t>/年)</t>
    </r>
    <phoneticPr fontId="7"/>
  </si>
  <si>
    <t>設備主機</t>
    <rPh sb="0" eb="2">
      <t>セツビ</t>
    </rPh>
    <rPh sb="2" eb="4">
      <t>シュキ</t>
    </rPh>
    <phoneticPr fontId="7"/>
  </si>
  <si>
    <t>設備主機（冷房）</t>
    <rPh sb="0" eb="2">
      <t>セツビ</t>
    </rPh>
    <rPh sb="2" eb="4">
      <t>シュキ</t>
    </rPh>
    <rPh sb="5" eb="7">
      <t>レイボウ</t>
    </rPh>
    <phoneticPr fontId="7"/>
  </si>
  <si>
    <t>設備主機（暖房）</t>
    <rPh sb="0" eb="2">
      <t>セツビ</t>
    </rPh>
    <rPh sb="2" eb="4">
      <t>シュキ</t>
    </rPh>
    <rPh sb="5" eb="7">
      <t>ダンボウ</t>
    </rPh>
    <phoneticPr fontId="7"/>
  </si>
  <si>
    <t>EHPを選択した場合は①もしくは②へ</t>
    <rPh sb="4" eb="6">
      <t>センタク</t>
    </rPh>
    <rPh sb="8" eb="10">
      <t>バアイ</t>
    </rPh>
    <phoneticPr fontId="7"/>
  </si>
  <si>
    <t>APF</t>
    <phoneticPr fontId="7"/>
  </si>
  <si>
    <t>主機冷房消費電力</t>
  </si>
  <si>
    <t>水冷HPチラー、空冷HPチラーを
選択した場合は④へ</t>
    <rPh sb="0" eb="2">
      <t>スイレイ</t>
    </rPh>
    <rPh sb="8" eb="10">
      <t>クウレイ</t>
    </rPh>
    <rPh sb="17" eb="19">
      <t>センタク</t>
    </rPh>
    <rPh sb="21" eb="23">
      <t>バアイ</t>
    </rPh>
    <phoneticPr fontId="7"/>
  </si>
  <si>
    <r>
      <t>CO</t>
    </r>
    <r>
      <rPr>
        <vertAlign val="subscript"/>
        <sz val="10"/>
        <color theme="1"/>
        <rFont val="メイリオ"/>
        <family val="3"/>
        <charset val="128"/>
      </rPr>
      <t>2</t>
    </r>
    <r>
      <rPr>
        <sz val="10"/>
        <color theme="1"/>
        <rFont val="メイリオ"/>
        <family val="3"/>
        <charset val="128"/>
      </rPr>
      <t>排出量</t>
    </r>
    <rPh sb="3" eb="5">
      <t>ハイシュツ</t>
    </rPh>
    <rPh sb="5" eb="6">
      <t>リョウ</t>
    </rPh>
    <phoneticPr fontId="7"/>
  </si>
  <si>
    <r>
      <t>CO</t>
    </r>
    <r>
      <rPr>
        <vertAlign val="subscript"/>
        <sz val="10"/>
        <color theme="1"/>
        <rFont val="メイリオ"/>
        <family val="3"/>
        <charset val="128"/>
      </rPr>
      <t>2</t>
    </r>
    <r>
      <rPr>
        <sz val="10"/>
        <color theme="1"/>
        <rFont val="メイリオ"/>
        <family val="3"/>
        <charset val="128"/>
      </rPr>
      <t>削減量</t>
    </r>
    <rPh sb="3" eb="5">
      <t>サクゲン</t>
    </rPh>
    <rPh sb="5" eb="6">
      <t>リョウ</t>
    </rPh>
    <phoneticPr fontId="7"/>
  </si>
  <si>
    <r>
      <t>現在お使いの設備の</t>
    </r>
    <r>
      <rPr>
        <u/>
        <sz val="10"/>
        <color theme="1"/>
        <rFont val="メイリオ"/>
        <family val="3"/>
        <charset val="128"/>
      </rPr>
      <t>定格</t>
    </r>
    <r>
      <rPr>
        <sz val="10"/>
        <color theme="1"/>
        <rFont val="メイリオ"/>
        <family val="3"/>
        <charset val="128"/>
      </rPr>
      <t>性能をstep2に対応する下記①～④のいずれかに入力してください。</t>
    </r>
    <rPh sb="0" eb="2">
      <t>ゲンザイ</t>
    </rPh>
    <rPh sb="3" eb="4">
      <t>ツカ</t>
    </rPh>
    <rPh sb="6" eb="8">
      <t>セツビ</t>
    </rPh>
    <rPh sb="9" eb="11">
      <t>テイカク</t>
    </rPh>
    <rPh sb="11" eb="13">
      <t>セイノウ</t>
    </rPh>
    <rPh sb="20" eb="22">
      <t>タイオウ</t>
    </rPh>
    <rPh sb="24" eb="26">
      <t>カキ</t>
    </rPh>
    <phoneticPr fontId="7"/>
  </si>
  <si>
    <t>定格暖房COP</t>
  </si>
  <si>
    <t>既存</t>
    <rPh sb="0" eb="2">
      <t>キゾン</t>
    </rPh>
    <phoneticPr fontId="7"/>
  </si>
  <si>
    <t>導入</t>
    <rPh sb="0" eb="2">
      <t>ドウニュウ</t>
    </rPh>
    <phoneticPr fontId="7"/>
  </si>
  <si>
    <t>B</t>
    <phoneticPr fontId="7"/>
  </si>
  <si>
    <t>step１</t>
    <phoneticPr fontId="7"/>
  </si>
  <si>
    <t>step4</t>
    <phoneticPr fontId="7"/>
  </si>
  <si>
    <t>空冷HPチラー</t>
    <rPh sb="0" eb="2">
      <t>クウレイ</t>
    </rPh>
    <phoneticPr fontId="7"/>
  </si>
  <si>
    <t>EHP</t>
    <phoneticPr fontId="7"/>
  </si>
  <si>
    <t>GHP</t>
    <phoneticPr fontId="7"/>
  </si>
  <si>
    <t>設備主機（冷房）</t>
    <rPh sb="2" eb="4">
      <t>シュキ</t>
    </rPh>
    <rPh sb="5" eb="7">
      <t>レイボウ</t>
    </rPh>
    <phoneticPr fontId="7"/>
  </si>
  <si>
    <t>設備主機（暖房）</t>
    <rPh sb="2" eb="4">
      <t>シュキ</t>
    </rPh>
    <rPh sb="5" eb="7">
      <t>ダンボウ</t>
    </rPh>
    <phoneticPr fontId="7"/>
  </si>
  <si>
    <t>設備補機（冷房）</t>
    <rPh sb="2" eb="4">
      <t>ホキ</t>
    </rPh>
    <rPh sb="5" eb="7">
      <t>レイボウ</t>
    </rPh>
    <phoneticPr fontId="7"/>
  </si>
  <si>
    <t>設備補機（暖房）</t>
    <rPh sb="2" eb="4">
      <t>ホキ</t>
    </rPh>
    <rPh sb="5" eb="7">
      <t>ダンボウ</t>
    </rPh>
    <phoneticPr fontId="7"/>
  </si>
  <si>
    <t>設備全体（冷房）</t>
    <rPh sb="0" eb="2">
      <t>セツビ</t>
    </rPh>
    <rPh sb="2" eb="4">
      <t>ゼンタイ</t>
    </rPh>
    <rPh sb="5" eb="7">
      <t>レイボウ</t>
    </rPh>
    <phoneticPr fontId="7"/>
  </si>
  <si>
    <t>設備全体（暖房）</t>
    <rPh sb="0" eb="2">
      <t>セツビ</t>
    </rPh>
    <rPh sb="2" eb="4">
      <t>ゼンタイ</t>
    </rPh>
    <rPh sb="5" eb="7">
      <t>ダンボウ</t>
    </rPh>
    <phoneticPr fontId="7"/>
  </si>
  <si>
    <t>冷房燃料消費量</t>
    <rPh sb="0" eb="2">
      <t>レイボウ</t>
    </rPh>
    <rPh sb="2" eb="4">
      <t>ネンリョウ</t>
    </rPh>
    <rPh sb="4" eb="7">
      <t>ショウヒリョウ</t>
    </rPh>
    <phoneticPr fontId="7"/>
  </si>
  <si>
    <t>暖房燃料消費量</t>
    <rPh sb="0" eb="2">
      <t>ダンボウ</t>
    </rPh>
    <rPh sb="2" eb="4">
      <t>ネンリョウ</t>
    </rPh>
    <rPh sb="4" eb="7">
      <t>ショウヒリョウ</t>
    </rPh>
    <phoneticPr fontId="7"/>
  </si>
  <si>
    <t>冷却塔ファン消費電力</t>
    <phoneticPr fontId="7"/>
  </si>
  <si>
    <t>冷却水ポンプ消費電力</t>
    <phoneticPr fontId="7"/>
  </si>
  <si>
    <t>冷房ガス消費量</t>
    <rPh sb="0" eb="2">
      <t>レイボウ</t>
    </rPh>
    <rPh sb="4" eb="7">
      <t>ショウヒリョウ</t>
    </rPh>
    <phoneticPr fontId="7"/>
  </si>
  <si>
    <t>暖房ガス消費量</t>
    <rPh sb="0" eb="2">
      <t>ダンボウ</t>
    </rPh>
    <rPh sb="4" eb="7">
      <t>ショウヒリョウ</t>
    </rPh>
    <phoneticPr fontId="7"/>
  </si>
  <si>
    <t>冷温水ポンプ消費電力</t>
    <rPh sb="0" eb="3">
      <t>レイオンスイ</t>
    </rPh>
    <phoneticPr fontId="7"/>
  </si>
  <si>
    <t>主機エネルギー使用量（冷房）</t>
    <rPh sb="0" eb="2">
      <t>シュキ</t>
    </rPh>
    <rPh sb="7" eb="10">
      <t>シヨウリョウ</t>
    </rPh>
    <rPh sb="11" eb="13">
      <t>レイボウ</t>
    </rPh>
    <phoneticPr fontId="7"/>
  </si>
  <si>
    <t>主機エネルギー使用量（暖房）</t>
    <rPh sb="0" eb="2">
      <t>シュキ</t>
    </rPh>
    <rPh sb="7" eb="10">
      <t>シヨウリョウ</t>
    </rPh>
    <rPh sb="11" eb="13">
      <t>ダンボウ</t>
    </rPh>
    <phoneticPr fontId="7"/>
  </si>
  <si>
    <t>補機エネルギー使用量（冷房）</t>
    <rPh sb="0" eb="2">
      <t>ホキ</t>
    </rPh>
    <rPh sb="7" eb="10">
      <t>シヨウリョウ</t>
    </rPh>
    <rPh sb="11" eb="13">
      <t>レイボウ</t>
    </rPh>
    <phoneticPr fontId="7"/>
  </si>
  <si>
    <t>補機エネルギー使用量（暖房）</t>
    <rPh sb="0" eb="2">
      <t>ホキ</t>
    </rPh>
    <rPh sb="7" eb="10">
      <t>シヨウリョウ</t>
    </rPh>
    <rPh sb="11" eb="13">
      <t>ダンボウ</t>
    </rPh>
    <phoneticPr fontId="7"/>
  </si>
  <si>
    <t>台数</t>
    <rPh sb="0" eb="2">
      <t>ダイスウ</t>
    </rPh>
    <phoneticPr fontId="7"/>
  </si>
  <si>
    <t>step2</t>
    <phoneticPr fontId="7"/>
  </si>
  <si>
    <t>step3</t>
    <phoneticPr fontId="7"/>
  </si>
  <si>
    <t>Step5</t>
    <phoneticPr fontId="7"/>
  </si>
  <si>
    <t>プルダウンリスト</t>
    <phoneticPr fontId="7"/>
  </si>
  <si>
    <t>Step1</t>
    <phoneticPr fontId="7"/>
  </si>
  <si>
    <t>◆燃料一覧表</t>
    <rPh sb="1" eb="3">
      <t>ネンリョウ</t>
    </rPh>
    <rPh sb="3" eb="6">
      <t>イチランヒョウ</t>
    </rPh>
    <phoneticPr fontId="7"/>
  </si>
  <si>
    <t>(低)</t>
    <rPh sb="1" eb="2">
      <t>テイ</t>
    </rPh>
    <phoneticPr fontId="7"/>
  </si>
  <si>
    <t>エネルギー単価</t>
    <rPh sb="5" eb="7">
      <t>タンカ</t>
    </rPh>
    <phoneticPr fontId="7"/>
  </si>
  <si>
    <t>◆既存燃料使用量算定</t>
    <rPh sb="1" eb="3">
      <t>キゾン</t>
    </rPh>
    <rPh sb="3" eb="5">
      <t>ネンリョウ</t>
    </rPh>
    <rPh sb="5" eb="8">
      <t>シヨウリョウ</t>
    </rPh>
    <rPh sb="8" eb="10">
      <t>サンテイ</t>
    </rPh>
    <phoneticPr fontId="7"/>
  </si>
  <si>
    <t>既存燃料使用量</t>
    <rPh sb="0" eb="7">
      <t>キゾンネンリョウシヨウリョウ</t>
    </rPh>
    <phoneticPr fontId="7"/>
  </si>
  <si>
    <t>導入燃料使用量</t>
    <rPh sb="0" eb="2">
      <t>ドウニュウ</t>
    </rPh>
    <rPh sb="2" eb="7">
      <t>ネンリョウシヨウリョウ</t>
    </rPh>
    <phoneticPr fontId="7"/>
  </si>
  <si>
    <r>
      <t>CO</t>
    </r>
    <r>
      <rPr>
        <vertAlign val="subscript"/>
        <sz val="11"/>
        <color theme="1"/>
        <rFont val="メイリオ"/>
        <family val="3"/>
        <charset val="128"/>
      </rPr>
      <t>2</t>
    </r>
    <r>
      <rPr>
        <sz val="11"/>
        <color theme="1"/>
        <rFont val="メイリオ"/>
        <family val="3"/>
        <charset val="128"/>
      </rPr>
      <t>排出量算定</t>
    </r>
    <rPh sb="3" eb="5">
      <t>ハイシュツ</t>
    </rPh>
    <rPh sb="5" eb="6">
      <t>リョウ</t>
    </rPh>
    <rPh sb="6" eb="8">
      <t>サンテイ</t>
    </rPh>
    <phoneticPr fontId="7"/>
  </si>
  <si>
    <t>既存CO2排出量</t>
    <rPh sb="0" eb="2">
      <t>キゾン</t>
    </rPh>
    <rPh sb="5" eb="8">
      <t>ハイシュツリョウ</t>
    </rPh>
    <phoneticPr fontId="7"/>
  </si>
  <si>
    <t>導入CO2排出量</t>
    <rPh sb="0" eb="2">
      <t>ドウニュウ</t>
    </rPh>
    <rPh sb="5" eb="7">
      <t>ハイシュツ</t>
    </rPh>
    <rPh sb="7" eb="8">
      <t>リョウ</t>
    </rPh>
    <phoneticPr fontId="7"/>
  </si>
  <si>
    <t>既存省エネ率</t>
    <rPh sb="0" eb="2">
      <t>キゾン</t>
    </rPh>
    <rPh sb="2" eb="3">
      <t>ショウ</t>
    </rPh>
    <rPh sb="5" eb="6">
      <t>リツ</t>
    </rPh>
    <phoneticPr fontId="7"/>
  </si>
  <si>
    <t>導入省エネ率</t>
    <rPh sb="0" eb="2">
      <t>ドウニュウ</t>
    </rPh>
    <rPh sb="2" eb="3">
      <t>ショウ</t>
    </rPh>
    <rPh sb="5" eb="6">
      <t>リツ</t>
    </rPh>
    <phoneticPr fontId="7"/>
  </si>
  <si>
    <t>【注★】と同様</t>
    <rPh sb="1" eb="2">
      <t>チュウ</t>
    </rPh>
    <rPh sb="5" eb="7">
      <t>ドウヨウ</t>
    </rPh>
    <phoneticPr fontId="7"/>
  </si>
  <si>
    <t>水冷HPチラー</t>
    <rPh sb="0" eb="2">
      <t>スイレイ</t>
    </rPh>
    <phoneticPr fontId="7"/>
  </si>
  <si>
    <t>冷房能力（高位基準）</t>
    <rPh sb="0" eb="2">
      <t>レイボウ</t>
    </rPh>
    <rPh sb="2" eb="4">
      <t>ノウリョク</t>
    </rPh>
    <rPh sb="5" eb="7">
      <t>コウイ</t>
    </rPh>
    <rPh sb="7" eb="9">
      <t>キジュン</t>
    </rPh>
    <phoneticPr fontId="7"/>
  </si>
  <si>
    <t>暖房能力（高位基準）</t>
    <rPh sb="0" eb="2">
      <t>ダンボウ</t>
    </rPh>
    <rPh sb="2" eb="4">
      <t>ノウリョク</t>
    </rPh>
    <rPh sb="5" eb="6">
      <t>コウ</t>
    </rPh>
    <phoneticPr fontId="7"/>
  </si>
  <si>
    <t>Step 1</t>
    <phoneticPr fontId="7"/>
  </si>
  <si>
    <t>Step1で選択した燃料の単価を入力してください。</t>
    <rPh sb="6" eb="8">
      <t>センタク</t>
    </rPh>
    <rPh sb="10" eb="12">
      <t>ネンリョウ</t>
    </rPh>
    <rPh sb="13" eb="15">
      <t>タンカ</t>
    </rPh>
    <phoneticPr fontId="7"/>
  </si>
  <si>
    <t>Step1で選択した電力の単価を入力してください。</t>
    <rPh sb="6" eb="8">
      <t>センタク</t>
    </rPh>
    <rPh sb="10" eb="12">
      <t>デンリョク</t>
    </rPh>
    <rPh sb="13" eb="15">
      <t>タンカ</t>
    </rPh>
    <rPh sb="16" eb="18">
      <t>ニュウリョク</t>
    </rPh>
    <phoneticPr fontId="7"/>
  </si>
  <si>
    <t>Step4で選択した燃料の単価を入力してください。</t>
    <rPh sb="6" eb="8">
      <t>センタク</t>
    </rPh>
    <rPh sb="10" eb="12">
      <t>ネンリョウ</t>
    </rPh>
    <rPh sb="13" eb="15">
      <t>タンカ</t>
    </rPh>
    <phoneticPr fontId="7"/>
  </si>
  <si>
    <t>燃料料金</t>
    <rPh sb="0" eb="2">
      <t>ネンリョウ</t>
    </rPh>
    <rPh sb="2" eb="4">
      <t>リョウキン</t>
    </rPh>
    <phoneticPr fontId="7"/>
  </si>
  <si>
    <t>電力料金</t>
    <rPh sb="0" eb="2">
      <t>デンリョク</t>
    </rPh>
    <rPh sb="2" eb="4">
      <t>リョウキン</t>
    </rPh>
    <phoneticPr fontId="7"/>
  </si>
  <si>
    <t>年間電力使用量</t>
    <rPh sb="0" eb="2">
      <t>ネンカン</t>
    </rPh>
    <rPh sb="2" eb="7">
      <t>デンリョクシヨウリョウ</t>
    </rPh>
    <phoneticPr fontId="7"/>
  </si>
  <si>
    <t>　</t>
    <phoneticPr fontId="7"/>
  </si>
  <si>
    <t/>
  </si>
  <si>
    <t>step5</t>
    <phoneticPr fontId="7"/>
  </si>
  <si>
    <t xml:space="preserve"> </t>
    <phoneticPr fontId="7"/>
  </si>
  <si>
    <t>(ー)</t>
    <phoneticPr fontId="7"/>
  </si>
  <si>
    <t>④チラー</t>
    <phoneticPr fontId="7"/>
  </si>
  <si>
    <t>【注★】既存と導入の燃料種を統合した表からVLOOKUPで値を返すように変更。</t>
    <rPh sb="1" eb="2">
      <t>チュウ</t>
    </rPh>
    <rPh sb="4" eb="6">
      <t>キゾン</t>
    </rPh>
    <rPh sb="7" eb="9">
      <t>ドウニュウ</t>
    </rPh>
    <rPh sb="12" eb="13">
      <t>シュ</t>
    </rPh>
    <rPh sb="14" eb="16">
      <t>トウゴウ</t>
    </rPh>
    <rPh sb="18" eb="19">
      <t>ヒョウ</t>
    </rPh>
    <rPh sb="29" eb="30">
      <t>アタイ</t>
    </rPh>
    <rPh sb="31" eb="32">
      <t>カエ</t>
    </rPh>
    <rPh sb="36" eb="38">
      <t>ヘンコウ</t>
    </rPh>
    <phoneticPr fontId="7"/>
  </si>
  <si>
    <t>（プルダウンリストの燃料名が既存と導入で表現違いあり。違いがあるとVLOOKUPで拾わないため燃料名重複させている）</t>
    <rPh sb="10" eb="13">
      <t>ネンリョウメイ</t>
    </rPh>
    <rPh sb="14" eb="16">
      <t>キゾン</t>
    </rPh>
    <rPh sb="17" eb="19">
      <t>ドウニュウ</t>
    </rPh>
    <rPh sb="20" eb="23">
      <t>ヒョウゲンチガ</t>
    </rPh>
    <rPh sb="27" eb="28">
      <t>チガ</t>
    </rPh>
    <rPh sb="41" eb="42">
      <t>ヒロ</t>
    </rPh>
    <rPh sb="47" eb="49">
      <t>ネンリョウ</t>
    </rPh>
    <rPh sb="49" eb="50">
      <t>メイ</t>
    </rPh>
    <rPh sb="50" eb="52">
      <t>ジュウフク</t>
    </rPh>
    <phoneticPr fontId="7"/>
  </si>
  <si>
    <t>A</t>
    <phoneticPr fontId="7"/>
  </si>
  <si>
    <t>EHP</t>
  </si>
  <si>
    <t>step1</t>
    <phoneticPr fontId="7"/>
  </si>
  <si>
    <t>step4</t>
  </si>
  <si>
    <t>③‐１</t>
    <phoneticPr fontId="7"/>
  </si>
  <si>
    <t>③‐２</t>
  </si>
  <si>
    <t>③‐３</t>
  </si>
  <si>
    <t>④‐１</t>
    <phoneticPr fontId="7"/>
  </si>
  <si>
    <t>④‐２</t>
  </si>
  <si>
    <t>④‐３</t>
  </si>
  <si>
    <t>③’</t>
    <phoneticPr fontId="7"/>
  </si>
  <si>
    <t>④’</t>
    <phoneticPr fontId="7"/>
  </si>
  <si>
    <t>③’‐１</t>
    <phoneticPr fontId="7"/>
  </si>
  <si>
    <t>③’‐２</t>
  </si>
  <si>
    <t>③’‐３</t>
  </si>
  <si>
    <t>④’‐１</t>
    <phoneticPr fontId="7"/>
  </si>
  <si>
    <t>④’‐２</t>
  </si>
  <si>
    <t>④’‐３</t>
  </si>
  <si>
    <t>効果算定の計算式</t>
    <rPh sb="0" eb="4">
      <t>コウカサンテイ</t>
    </rPh>
    <rPh sb="5" eb="8">
      <t>ケイサンシキ</t>
    </rPh>
    <phoneticPr fontId="32"/>
  </si>
  <si>
    <t>【燃焼式】</t>
    <rPh sb="1" eb="4">
      <t>ネンショウシキ</t>
    </rPh>
    <phoneticPr fontId="32"/>
  </si>
  <si>
    <t>高位発熱量</t>
    <rPh sb="0" eb="2">
      <t>コウイ</t>
    </rPh>
    <rPh sb="2" eb="5">
      <t>ハツネツリョウ</t>
    </rPh>
    <phoneticPr fontId="32"/>
  </si>
  <si>
    <t>Nm3変換</t>
    <rPh sb="3" eb="5">
      <t>ヘンカン</t>
    </rPh>
    <phoneticPr fontId="32"/>
  </si>
  <si>
    <t>A重油</t>
    <rPh sb="1" eb="3">
      <t>ジュウユ</t>
    </rPh>
    <phoneticPr fontId="32"/>
  </si>
  <si>
    <t>MJ/L</t>
    <phoneticPr fontId="32"/>
  </si>
  <si>
    <t>都市ガス13A</t>
    <rPh sb="0" eb="2">
      <t>トシ</t>
    </rPh>
    <phoneticPr fontId="32"/>
  </si>
  <si>
    <t>MJ/Nm3</t>
    <phoneticPr fontId="32"/>
  </si>
  <si>
    <t>Nm3/m3</t>
    <phoneticPr fontId="32"/>
  </si>
  <si>
    <t>灯油</t>
    <rPh sb="0" eb="2">
      <t>トウユ</t>
    </rPh>
    <phoneticPr fontId="32"/>
  </si>
  <si>
    <t>同　12A</t>
    <rPh sb="0" eb="1">
      <t>ドウ</t>
    </rPh>
    <phoneticPr fontId="32"/>
  </si>
  <si>
    <t>LPG比体積（産気率）</t>
    <rPh sb="3" eb="6">
      <t>ヒタイセキ</t>
    </rPh>
    <rPh sb="7" eb="10">
      <t>サンキリツ</t>
    </rPh>
    <phoneticPr fontId="32"/>
  </si>
  <si>
    <t>LPG</t>
    <phoneticPr fontId="32"/>
  </si>
  <si>
    <t>MJ/kg</t>
    <phoneticPr fontId="32"/>
  </si>
  <si>
    <t>天然ガス</t>
    <rPh sb="0" eb="2">
      <t>テンネン</t>
    </rPh>
    <phoneticPr fontId="32"/>
  </si>
  <si>
    <t>m3/kg</t>
    <phoneticPr fontId="32"/>
  </si>
  <si>
    <t>LNG</t>
    <phoneticPr fontId="32"/>
  </si>
  <si>
    <t>電力の一次エネルギー変換係数</t>
    <rPh sb="0" eb="2">
      <t>デンリョク</t>
    </rPh>
    <rPh sb="3" eb="5">
      <t>イチジ</t>
    </rPh>
    <rPh sb="10" eb="12">
      <t>ヘンカン</t>
    </rPh>
    <rPh sb="12" eb="14">
      <t>ケイスウ</t>
    </rPh>
    <phoneticPr fontId="32"/>
  </si>
  <si>
    <t>1次/2次</t>
    <rPh sb="1" eb="2">
      <t>ジ</t>
    </rPh>
    <rPh sb="4" eb="5">
      <t>ジ</t>
    </rPh>
    <phoneticPr fontId="32"/>
  </si>
  <si>
    <t>Step1</t>
    <phoneticPr fontId="32"/>
  </si>
  <si>
    <t>１．既存設備の選択</t>
    <rPh sb="2" eb="6">
      <t>キソンセツビ</t>
    </rPh>
    <rPh sb="7" eb="9">
      <t>センタク</t>
    </rPh>
    <phoneticPr fontId="32"/>
  </si>
  <si>
    <t>①</t>
    <phoneticPr fontId="32"/>
  </si>
  <si>
    <t>GHP</t>
    <phoneticPr fontId="32"/>
  </si>
  <si>
    <t>②</t>
    <phoneticPr fontId="32"/>
  </si>
  <si>
    <t>吸収式冷凍機</t>
    <rPh sb="0" eb="6">
      <t>キュウシュウシキレイトウキ</t>
    </rPh>
    <phoneticPr fontId="32"/>
  </si>
  <si>
    <t>③</t>
    <phoneticPr fontId="32"/>
  </si>
  <si>
    <t>温水ボイラ</t>
    <rPh sb="0" eb="2">
      <t>オンスイ</t>
    </rPh>
    <phoneticPr fontId="32"/>
  </si>
  <si>
    <t>２．入力項目</t>
    <rPh sb="2" eb="4">
      <t>ニュウリョク</t>
    </rPh>
    <rPh sb="4" eb="6">
      <t>コウモク</t>
    </rPh>
    <phoneticPr fontId="32"/>
  </si>
  <si>
    <t>Step2</t>
    <phoneticPr fontId="32"/>
  </si>
  <si>
    <t>燃料種</t>
    <rPh sb="0" eb="3">
      <t>ネンリョウシュ</t>
    </rPh>
    <phoneticPr fontId="32"/>
  </si>
  <si>
    <t>（都市ガス13A、同12A、天然ガス、LNG、LPG、灯油、A重油）</t>
    <rPh sb="1" eb="3">
      <t>トシ</t>
    </rPh>
    <rPh sb="9" eb="10">
      <t>ドウ</t>
    </rPh>
    <rPh sb="14" eb="16">
      <t>テンネン</t>
    </rPh>
    <rPh sb="27" eb="29">
      <t>トウユ</t>
    </rPh>
    <rPh sb="31" eb="33">
      <t>ジュウユ</t>
    </rPh>
    <phoneticPr fontId="32"/>
  </si>
  <si>
    <t>計量単位</t>
    <rPh sb="0" eb="2">
      <t>ケイリョウ</t>
    </rPh>
    <rPh sb="2" eb="4">
      <t>タンイ</t>
    </rPh>
    <phoneticPr fontId="32"/>
  </si>
  <si>
    <t>(千Nm3/年、千m3/年、kL/年 またはトン/年）</t>
    <rPh sb="1" eb="2">
      <t>セン</t>
    </rPh>
    <rPh sb="8" eb="9">
      <t>セン</t>
    </rPh>
    <rPh sb="19" eb="20">
      <t>ネンネン</t>
    </rPh>
    <phoneticPr fontId="32"/>
  </si>
  <si>
    <t>現状設備および導入予定設備の燃料（エネルギー）種別、およびその単価を入力</t>
    <rPh sb="0" eb="4">
      <t>ゲンジョウセツビ</t>
    </rPh>
    <rPh sb="7" eb="13">
      <t>ドウニュウヨテイセツビ</t>
    </rPh>
    <rPh sb="14" eb="16">
      <t>ネンリョウ</t>
    </rPh>
    <rPh sb="23" eb="25">
      <t>シュベツ</t>
    </rPh>
    <rPh sb="31" eb="33">
      <t>タンカ</t>
    </rPh>
    <rPh sb="34" eb="36">
      <t>ニュウリョク</t>
    </rPh>
    <phoneticPr fontId="32"/>
  </si>
  <si>
    <t>してください。</t>
  </si>
  <si>
    <t>種類</t>
    <rPh sb="0" eb="2">
      <t>シュルイ</t>
    </rPh>
    <phoneticPr fontId="32"/>
  </si>
  <si>
    <t>単価</t>
    <rPh sb="0" eb="2">
      <t>タンカ</t>
    </rPh>
    <phoneticPr fontId="32"/>
  </si>
  <si>
    <t>電力単価</t>
    <rPh sb="0" eb="4">
      <t>デンリョクタンカ</t>
    </rPh>
    <phoneticPr fontId="32"/>
  </si>
  <si>
    <t>現状</t>
    <rPh sb="0" eb="2">
      <t>ゲンジョウ</t>
    </rPh>
    <phoneticPr fontId="32"/>
  </si>
  <si>
    <t>円/L</t>
    <rPh sb="0" eb="1">
      <t>エン</t>
    </rPh>
    <phoneticPr fontId="32"/>
  </si>
  <si>
    <t>円/kWh</t>
    <rPh sb="0" eb="1">
      <t>エン</t>
    </rPh>
    <phoneticPr fontId="32"/>
  </si>
  <si>
    <t>導入予定</t>
    <rPh sb="0" eb="2">
      <t>ドウニュウ</t>
    </rPh>
    <rPh sb="2" eb="4">
      <t>ヨテイ</t>
    </rPh>
    <phoneticPr fontId="32"/>
  </si>
  <si>
    <t>円/m3</t>
    <rPh sb="0" eb="1">
      <t>エン</t>
    </rPh>
    <phoneticPr fontId="32"/>
  </si>
  <si>
    <t>注：ここで入力してもらえば、Step6のエネルギー単価の管理は不要となる。</t>
    <rPh sb="0" eb="1">
      <t>チュウ</t>
    </rPh>
    <rPh sb="5" eb="7">
      <t>ニュウリョク</t>
    </rPh>
    <rPh sb="25" eb="27">
      <t>タンカ</t>
    </rPh>
    <rPh sb="28" eb="30">
      <t>カンリ</t>
    </rPh>
    <rPh sb="31" eb="33">
      <t>フヨウ</t>
    </rPh>
    <phoneticPr fontId="32"/>
  </si>
  <si>
    <t>主機</t>
    <rPh sb="0" eb="2">
      <t>シュキ</t>
    </rPh>
    <phoneticPr fontId="32"/>
  </si>
  <si>
    <t>冷房期</t>
    <rPh sb="0" eb="2">
      <t>レイボウ</t>
    </rPh>
    <rPh sb="2" eb="3">
      <t>キ</t>
    </rPh>
    <phoneticPr fontId="32"/>
  </si>
  <si>
    <t>Fco</t>
    <phoneticPr fontId="32"/>
  </si>
  <si>
    <t>千m3/年（都市ガス13A）</t>
    <rPh sb="6" eb="8">
      <t>トシ</t>
    </rPh>
    <phoneticPr fontId="32"/>
  </si>
  <si>
    <t>暖房期</t>
    <rPh sb="0" eb="2">
      <t>ダンボウ</t>
    </rPh>
    <rPh sb="2" eb="3">
      <t>キ</t>
    </rPh>
    <phoneticPr fontId="32"/>
  </si>
  <si>
    <t>Fwo</t>
    <phoneticPr fontId="32"/>
  </si>
  <si>
    <t>千m3/年（13Aガス）</t>
    <phoneticPr fontId="32"/>
  </si>
  <si>
    <t>補機</t>
    <rPh sb="0" eb="2">
      <t>ホキ</t>
    </rPh>
    <phoneticPr fontId="32"/>
  </si>
  <si>
    <t>Faxc</t>
    <phoneticPr fontId="32"/>
  </si>
  <si>
    <t>千kWh/年</t>
    <phoneticPr fontId="32"/>
  </si>
  <si>
    <t>kL/年（A重油）</t>
    <rPh sb="3" eb="4">
      <t>ネン</t>
    </rPh>
    <rPh sb="6" eb="8">
      <t>ジュウユ</t>
    </rPh>
    <phoneticPr fontId="32"/>
  </si>
  <si>
    <t>千kWh/年</t>
    <rPh sb="0" eb="1">
      <t>セン</t>
    </rPh>
    <rPh sb="5" eb="6">
      <t>ネン</t>
    </rPh>
    <phoneticPr fontId="32"/>
  </si>
  <si>
    <t>Faxw</t>
    <phoneticPr fontId="32"/>
  </si>
  <si>
    <t>Fwo</t>
  </si>
  <si>
    <t>ここで、燃料のエネルギー使用量を一次エネルギーに変換する。電力はそのまま。</t>
    <rPh sb="4" eb="6">
      <t>ネンリョウ</t>
    </rPh>
    <rPh sb="12" eb="15">
      <t>シヨウリョウ</t>
    </rPh>
    <rPh sb="16" eb="18">
      <t>イチジ</t>
    </rPh>
    <rPh sb="24" eb="26">
      <t>ヘンカン</t>
    </rPh>
    <rPh sb="29" eb="31">
      <t>デンリョク</t>
    </rPh>
    <phoneticPr fontId="32"/>
  </si>
  <si>
    <t>既存設備</t>
    <rPh sb="0" eb="4">
      <t>キソンセツビ</t>
    </rPh>
    <phoneticPr fontId="32"/>
  </si>
  <si>
    <t>①GHP</t>
    <phoneticPr fontId="32"/>
  </si>
  <si>
    <t>②吸収冷凍機</t>
    <rPh sb="1" eb="3">
      <t>キュウシュウ</t>
    </rPh>
    <rPh sb="3" eb="6">
      <t>レイトウキ</t>
    </rPh>
    <phoneticPr fontId="32"/>
  </si>
  <si>
    <t>③温水B</t>
    <rPh sb="1" eb="3">
      <t>オンスイ</t>
    </rPh>
    <phoneticPr fontId="32"/>
  </si>
  <si>
    <t>単位</t>
    <rPh sb="0" eb="2">
      <t>タンイ</t>
    </rPh>
    <phoneticPr fontId="32"/>
  </si>
  <si>
    <t>使用燃料</t>
    <rPh sb="0" eb="4">
      <t>シヨウネンリョウ</t>
    </rPh>
    <phoneticPr fontId="32"/>
  </si>
  <si>
    <t>13Aガス</t>
    <phoneticPr fontId="32"/>
  </si>
  <si>
    <t>主機エネルギー　冷房</t>
    <rPh sb="0" eb="2">
      <t>シュキ</t>
    </rPh>
    <phoneticPr fontId="32"/>
  </si>
  <si>
    <t>GJ/年</t>
    <rPh sb="3" eb="4">
      <t>ネン</t>
    </rPh>
    <phoneticPr fontId="32"/>
  </si>
  <si>
    <t>主機エネルギー　暖房</t>
    <rPh sb="0" eb="2">
      <t>シュキ</t>
    </rPh>
    <phoneticPr fontId="32"/>
  </si>
  <si>
    <t>補機電力使用量　冷房</t>
    <rPh sb="0" eb="2">
      <t>ホキ</t>
    </rPh>
    <rPh sb="2" eb="7">
      <t>デンリョクシヨウリョウ</t>
    </rPh>
    <phoneticPr fontId="32"/>
  </si>
  <si>
    <t>補機電力使用量　暖房</t>
    <rPh sb="0" eb="2">
      <t>ホキ</t>
    </rPh>
    <rPh sb="2" eb="7">
      <t>デンリョクシヨウリョウ</t>
    </rPh>
    <phoneticPr fontId="32"/>
  </si>
  <si>
    <t>Step3</t>
  </si>
  <si>
    <t>燃料</t>
    <rPh sb="0" eb="2">
      <t>ネンリョウ</t>
    </rPh>
    <phoneticPr fontId="32"/>
  </si>
  <si>
    <t>定格冷房能力</t>
    <rPh sb="0" eb="2">
      <t>テイカク</t>
    </rPh>
    <rPh sb="2" eb="4">
      <t>レイボウ</t>
    </rPh>
    <rPh sb="4" eb="6">
      <t>ノウリョク</t>
    </rPh>
    <phoneticPr fontId="32"/>
  </si>
  <si>
    <t>Φco1</t>
    <phoneticPr fontId="32"/>
  </si>
  <si>
    <t>Ex)</t>
    <phoneticPr fontId="32"/>
  </si>
  <si>
    <t>kW</t>
    <phoneticPr fontId="32"/>
  </si>
  <si>
    <t>定格暖房能力</t>
    <rPh sb="0" eb="2">
      <t>テイカク</t>
    </rPh>
    <rPh sb="2" eb="4">
      <t>ダンボウ</t>
    </rPh>
    <rPh sb="4" eb="6">
      <t>ノウリョク</t>
    </rPh>
    <phoneticPr fontId="32"/>
  </si>
  <si>
    <t>Φwo1</t>
    <phoneticPr fontId="32"/>
  </si>
  <si>
    <t>定格冷房燃料消費量</t>
    <rPh sb="0" eb="2">
      <t>テイカク</t>
    </rPh>
    <rPh sb="2" eb="4">
      <t>レイボウ</t>
    </rPh>
    <rPh sb="4" eb="6">
      <t>ネンリョウ</t>
    </rPh>
    <rPh sb="6" eb="9">
      <t>ショウヒリョウ</t>
    </rPh>
    <phoneticPr fontId="32"/>
  </si>
  <si>
    <t>Pco1</t>
    <phoneticPr fontId="32"/>
  </si>
  <si>
    <t>kW（13A）</t>
    <phoneticPr fontId="32"/>
  </si>
  <si>
    <t>定格暖房燃料消費量</t>
    <rPh sb="0" eb="2">
      <t>テイカク</t>
    </rPh>
    <rPh sb="2" eb="4">
      <t>ダンボウ</t>
    </rPh>
    <rPh sb="4" eb="6">
      <t>ネンリョウ</t>
    </rPh>
    <rPh sb="6" eb="9">
      <t>ショウヒリョウ</t>
    </rPh>
    <phoneticPr fontId="32"/>
  </si>
  <si>
    <t>Pwo1</t>
    <phoneticPr fontId="32"/>
  </si>
  <si>
    <t>補機冷房消費電力</t>
    <rPh sb="0" eb="2">
      <t>ホキ</t>
    </rPh>
    <rPh sb="2" eb="4">
      <t>レイボウ</t>
    </rPh>
    <rPh sb="4" eb="8">
      <t>ショウヒデンリョク</t>
    </rPh>
    <phoneticPr fontId="32"/>
  </si>
  <si>
    <t>Paxc</t>
    <phoneticPr fontId="32"/>
  </si>
  <si>
    <t>補機暖房消費電力</t>
    <rPh sb="0" eb="2">
      <t>ホキ</t>
    </rPh>
    <rPh sb="2" eb="4">
      <t>ダンボウ</t>
    </rPh>
    <rPh sb="4" eb="8">
      <t>ショウヒデンリョク</t>
    </rPh>
    <phoneticPr fontId="32"/>
  </si>
  <si>
    <t>Paxw</t>
    <phoneticPr fontId="32"/>
  </si>
  <si>
    <t>APF</t>
    <phoneticPr fontId="32"/>
  </si>
  <si>
    <t>APF1</t>
    <phoneticPr fontId="32"/>
  </si>
  <si>
    <t>*1</t>
    <phoneticPr fontId="32"/>
  </si>
  <si>
    <t>L/h（A重油）</t>
    <rPh sb="5" eb="7">
      <t>ジュウユ</t>
    </rPh>
    <phoneticPr fontId="32"/>
  </si>
  <si>
    <t>冷却塔ファンモータ定格出力</t>
    <rPh sb="0" eb="3">
      <t>レイキャクトウ</t>
    </rPh>
    <rPh sb="9" eb="11">
      <t>テイカク</t>
    </rPh>
    <rPh sb="11" eb="13">
      <t>シュツリョク</t>
    </rPh>
    <phoneticPr fontId="32"/>
  </si>
  <si>
    <t>Pf1</t>
    <phoneticPr fontId="32"/>
  </si>
  <si>
    <t>冷却塔フポンプモータ定格出力</t>
    <rPh sb="0" eb="3">
      <t>レイキャクトウ</t>
    </rPh>
    <rPh sb="10" eb="12">
      <t>テイカク</t>
    </rPh>
    <rPh sb="12" eb="14">
      <t>シュツリョク</t>
    </rPh>
    <phoneticPr fontId="32"/>
  </si>
  <si>
    <t>Pp11</t>
    <phoneticPr fontId="32"/>
  </si>
  <si>
    <t>冷温水ポンプモータ定格出力</t>
    <rPh sb="0" eb="3">
      <t>レイオンスイ</t>
    </rPh>
    <rPh sb="9" eb="11">
      <t>テイカク</t>
    </rPh>
    <rPh sb="11" eb="13">
      <t>シュツリョク</t>
    </rPh>
    <phoneticPr fontId="32"/>
  </si>
  <si>
    <t>Pp21</t>
    <phoneticPr fontId="32"/>
  </si>
  <si>
    <t>定格出力</t>
    <rPh sb="0" eb="2">
      <t>テイカク</t>
    </rPh>
    <rPh sb="2" eb="4">
      <t>シュツリョク</t>
    </rPh>
    <phoneticPr fontId="32"/>
  </si>
  <si>
    <t>注1：</t>
    <rPh sb="0" eb="1">
      <t>チュウ</t>
    </rPh>
    <phoneticPr fontId="32"/>
  </si>
  <si>
    <t>単位 kW入力は不可</t>
    <rPh sb="0" eb="2">
      <t>タンイ</t>
    </rPh>
    <rPh sb="5" eb="7">
      <t>ニュウリョク</t>
    </rPh>
    <rPh sb="8" eb="10">
      <t>フカ</t>
    </rPh>
    <phoneticPr fontId="32"/>
  </si>
  <si>
    <t>Step4</t>
    <phoneticPr fontId="32"/>
  </si>
  <si>
    <t>導入予定設備の選択</t>
    <rPh sb="0" eb="2">
      <t>ドウニュウ</t>
    </rPh>
    <rPh sb="2" eb="4">
      <t>ヨテイ</t>
    </rPh>
    <rPh sb="4" eb="6">
      <t>セツビ</t>
    </rPh>
    <rPh sb="7" eb="9">
      <t>センタク</t>
    </rPh>
    <phoneticPr fontId="32"/>
  </si>
  <si>
    <t>④</t>
    <phoneticPr fontId="32"/>
  </si>
  <si>
    <t>EHP</t>
    <phoneticPr fontId="32"/>
  </si>
  <si>
    <t>⑤</t>
    <phoneticPr fontId="32"/>
  </si>
  <si>
    <t>空冷HPチラー</t>
    <rPh sb="0" eb="2">
      <t>クウレイ</t>
    </rPh>
    <phoneticPr fontId="32"/>
  </si>
  <si>
    <t>⑥</t>
    <phoneticPr fontId="32"/>
  </si>
  <si>
    <t>水冷HPチラー</t>
    <rPh sb="0" eb="2">
      <t>スイレイ</t>
    </rPh>
    <phoneticPr fontId="32"/>
  </si>
  <si>
    <t>⑦</t>
    <phoneticPr fontId="32"/>
  </si>
  <si>
    <t>遠心冷凍機</t>
    <rPh sb="0" eb="5">
      <t>エンシンレイトウキ</t>
    </rPh>
    <phoneticPr fontId="32"/>
  </si>
  <si>
    <t>Step5</t>
  </si>
  <si>
    <t>Φco2</t>
    <phoneticPr fontId="32"/>
  </si>
  <si>
    <t>Φwo2</t>
    <phoneticPr fontId="32"/>
  </si>
  <si>
    <t>Pco2</t>
    <phoneticPr fontId="32"/>
  </si>
  <si>
    <t>Pwo2</t>
    <phoneticPr fontId="32"/>
  </si>
  <si>
    <t>Paxc2</t>
    <phoneticPr fontId="32"/>
  </si>
  <si>
    <t>Paxw2</t>
    <phoneticPr fontId="32"/>
  </si>
  <si>
    <t>APF2</t>
    <phoneticPr fontId="32"/>
  </si>
  <si>
    <t>kg/h（LPG）</t>
    <phoneticPr fontId="32"/>
  </si>
  <si>
    <t>Pf2</t>
    <phoneticPr fontId="32"/>
  </si>
  <si>
    <t>Pp12</t>
    <phoneticPr fontId="32"/>
  </si>
  <si>
    <t>Pp22</t>
    <phoneticPr fontId="32"/>
  </si>
  <si>
    <t>kg/h（LNG）</t>
  </si>
  <si>
    <t>冷温水ポンプモータ定格電力</t>
    <rPh sb="0" eb="3">
      <t>レイオンスイ</t>
    </rPh>
    <rPh sb="9" eb="11">
      <t>テイカク</t>
    </rPh>
    <rPh sb="11" eb="13">
      <t>デンリョク</t>
    </rPh>
    <phoneticPr fontId="32"/>
  </si>
  <si>
    <t>台構成</t>
    <rPh sb="0" eb="1">
      <t>ダイ</t>
    </rPh>
    <rPh sb="1" eb="3">
      <t>コウセイ</t>
    </rPh>
    <phoneticPr fontId="32"/>
  </si>
  <si>
    <t>定格冷房消費電力</t>
    <rPh sb="0" eb="2">
      <t>テイカク</t>
    </rPh>
    <rPh sb="2" eb="4">
      <t>レイボウ</t>
    </rPh>
    <rPh sb="4" eb="8">
      <t>ショウヒデンリョク</t>
    </rPh>
    <phoneticPr fontId="32"/>
  </si>
  <si>
    <t>定格暖房消費電力</t>
    <rPh sb="0" eb="2">
      <t>テイカク</t>
    </rPh>
    <rPh sb="2" eb="4">
      <t>ダンボウ</t>
    </rPh>
    <rPh sb="4" eb="8">
      <t>ショウヒデンリョク</t>
    </rPh>
    <phoneticPr fontId="32"/>
  </si>
  <si>
    <t>COP</t>
    <phoneticPr fontId="32"/>
  </si>
  <si>
    <t>井水熱源</t>
    <rPh sb="0" eb="2">
      <t>イスイ</t>
    </rPh>
    <rPh sb="2" eb="4">
      <t>ネツゲン</t>
    </rPh>
    <phoneticPr fontId="32"/>
  </si>
  <si>
    <t>暖房時熱源水ポンプ定格出力</t>
    <rPh sb="0" eb="2">
      <t>ダンボウ</t>
    </rPh>
    <rPh sb="2" eb="3">
      <t>ジ</t>
    </rPh>
    <rPh sb="3" eb="6">
      <t>ネツゲンスイ</t>
    </rPh>
    <rPh sb="9" eb="13">
      <t>テイカクシュツリョク</t>
    </rPh>
    <phoneticPr fontId="32"/>
  </si>
  <si>
    <t>Pps2</t>
    <phoneticPr fontId="32"/>
  </si>
  <si>
    <t>Step6</t>
    <phoneticPr fontId="32"/>
  </si>
  <si>
    <t>燃料単価の入力</t>
    <rPh sb="0" eb="4">
      <t>ネンリョウタンカ</t>
    </rPh>
    <rPh sb="5" eb="7">
      <t>ニュウリョク</t>
    </rPh>
    <phoneticPr fontId="32"/>
  </si>
  <si>
    <t>13A都市ガス</t>
    <phoneticPr fontId="32"/>
  </si>
  <si>
    <t>円/Nm3</t>
    <rPh sb="0" eb="1">
      <t>エン</t>
    </rPh>
    <phoneticPr fontId="32"/>
  </si>
  <si>
    <t>12A都市ガス</t>
    <phoneticPr fontId="32"/>
  </si>
  <si>
    <t>円/kg</t>
    <rPh sb="0" eb="1">
      <t>エン</t>
    </rPh>
    <phoneticPr fontId="32"/>
  </si>
  <si>
    <t>⑧</t>
    <phoneticPr fontId="32"/>
  </si>
  <si>
    <t>電力</t>
    <rPh sb="0" eb="2">
      <t>デンリョク</t>
    </rPh>
    <phoneticPr fontId="32"/>
  </si>
  <si>
    <t>算定結果</t>
    <rPh sb="0" eb="4">
      <t>サンテイケッカ</t>
    </rPh>
    <phoneticPr fontId="32"/>
  </si>
  <si>
    <t>CO2排出係数</t>
    <rPh sb="3" eb="5">
      <t>ハイシュツ</t>
    </rPh>
    <rPh sb="5" eb="7">
      <t>ケイスウ</t>
    </rPh>
    <phoneticPr fontId="32"/>
  </si>
  <si>
    <t>ton/GJ</t>
    <phoneticPr fontId="32"/>
  </si>
  <si>
    <t>電力のCO2排出係数</t>
    <rPh sb="0" eb="2">
      <t>デンリョク</t>
    </rPh>
    <rPh sb="6" eb="10">
      <t>ハイシュツケイスウ</t>
    </rPh>
    <phoneticPr fontId="32"/>
  </si>
  <si>
    <t>kg-co2/kWh</t>
    <phoneticPr fontId="32"/>
  </si>
  <si>
    <t>東京電力</t>
    <phoneticPr fontId="32"/>
  </si>
  <si>
    <t>【既存設備】</t>
    <rPh sb="1" eb="5">
      <t>キソンセツビ</t>
    </rPh>
    <phoneticPr fontId="32"/>
  </si>
  <si>
    <t>設備名</t>
    <rPh sb="0" eb="3">
      <t>セツビメイ</t>
    </rPh>
    <phoneticPr fontId="32"/>
  </si>
  <si>
    <t>吸収式
冷凍機</t>
    <phoneticPr fontId="32"/>
  </si>
  <si>
    <t>13A</t>
    <phoneticPr fontId="32"/>
  </si>
  <si>
    <t>定格冷房能力</t>
    <rPh sb="0" eb="2">
      <t>テイカク</t>
    </rPh>
    <rPh sb="2" eb="6">
      <t>レイボウノウリョク</t>
    </rPh>
    <phoneticPr fontId="32"/>
  </si>
  <si>
    <t>APF入力</t>
    <rPh sb="3" eb="5">
      <t>ニュウリョク</t>
    </rPh>
    <phoneticPr fontId="32"/>
  </si>
  <si>
    <t>の場合</t>
    <rPh sb="1" eb="3">
      <t>バアイ</t>
    </rPh>
    <phoneticPr fontId="32"/>
  </si>
  <si>
    <t>定格冷房COP</t>
    <rPh sb="0" eb="2">
      <t>テイカク</t>
    </rPh>
    <rPh sb="2" eb="4">
      <t>レイボウ</t>
    </rPh>
    <phoneticPr fontId="32"/>
  </si>
  <si>
    <t>ー</t>
    <phoneticPr fontId="32"/>
  </si>
  <si>
    <t>定格暖房COP（効率）</t>
    <rPh sb="0" eb="2">
      <t>テイカク</t>
    </rPh>
    <rPh sb="2" eb="4">
      <t>ダンボウ</t>
    </rPh>
    <rPh sb="8" eb="10">
      <t>コウリツ</t>
    </rPh>
    <phoneticPr fontId="32"/>
  </si>
  <si>
    <t>主機一次エネルギー使用量（冷房）</t>
    <rPh sb="0" eb="2">
      <t>シュキ</t>
    </rPh>
    <rPh sb="2" eb="4">
      <t>イチジ</t>
    </rPh>
    <rPh sb="9" eb="12">
      <t>シヨウリョウ</t>
    </rPh>
    <rPh sb="13" eb="15">
      <t>レイボウ</t>
    </rPh>
    <phoneticPr fontId="32"/>
  </si>
  <si>
    <t>左から</t>
    <rPh sb="0" eb="1">
      <t>ヒダリ</t>
    </rPh>
    <phoneticPr fontId="32"/>
  </si>
  <si>
    <t>千m3、千m3、kL、kL/年</t>
    <rPh sb="0" eb="1">
      <t>センセン</t>
    </rPh>
    <phoneticPr fontId="32"/>
  </si>
  <si>
    <t>主機一次エネルギー使用量（暖房）</t>
    <rPh sb="0" eb="2">
      <t>シュキ</t>
    </rPh>
    <rPh sb="2" eb="4">
      <t>イチジ</t>
    </rPh>
    <rPh sb="9" eb="12">
      <t>シヨウリョウ</t>
    </rPh>
    <rPh sb="13" eb="15">
      <t>ダンボウ</t>
    </rPh>
    <phoneticPr fontId="32"/>
  </si>
  <si>
    <t>主機一次エネルギー使用量（年間）</t>
    <rPh sb="0" eb="2">
      <t>シュキ</t>
    </rPh>
    <rPh sb="2" eb="4">
      <t>イチジ</t>
    </rPh>
    <rPh sb="9" eb="12">
      <t>シヨウリョウ</t>
    </rPh>
    <rPh sb="13" eb="15">
      <t>ネンカン</t>
    </rPh>
    <phoneticPr fontId="32"/>
  </si>
  <si>
    <t>補機電力使用量（冷房）</t>
    <rPh sb="0" eb="2">
      <t>ホキ</t>
    </rPh>
    <rPh sb="2" eb="4">
      <t>デンリョク</t>
    </rPh>
    <rPh sb="4" eb="7">
      <t>シヨウリョウ</t>
    </rPh>
    <rPh sb="8" eb="10">
      <t>レイボウ</t>
    </rPh>
    <phoneticPr fontId="32"/>
  </si>
  <si>
    <t>補機電力使用量（暖房）</t>
    <rPh sb="0" eb="2">
      <t>ホキ</t>
    </rPh>
    <rPh sb="2" eb="4">
      <t>デンリョク</t>
    </rPh>
    <rPh sb="4" eb="7">
      <t>シヨウリョウ</t>
    </rPh>
    <rPh sb="8" eb="10">
      <t>ダンボウ</t>
    </rPh>
    <phoneticPr fontId="32"/>
  </si>
  <si>
    <t>CO2排出量（燃料）</t>
    <rPh sb="3" eb="6">
      <t>ハイシュツリョウ</t>
    </rPh>
    <rPh sb="7" eb="9">
      <t>ネンリョウ</t>
    </rPh>
    <phoneticPr fontId="32"/>
  </si>
  <si>
    <t>t-CO2/年</t>
    <rPh sb="6" eb="7">
      <t>ネン</t>
    </rPh>
    <phoneticPr fontId="32"/>
  </si>
  <si>
    <t>CO2排出量（電力）</t>
    <rPh sb="3" eb="6">
      <t>ハイシュツリョウ</t>
    </rPh>
    <rPh sb="7" eb="9">
      <t>デンリョク</t>
    </rPh>
    <phoneticPr fontId="32"/>
  </si>
  <si>
    <t>CO2排出量（全体）</t>
    <rPh sb="3" eb="6">
      <t>ハイシュツリョウ</t>
    </rPh>
    <rPh sb="7" eb="9">
      <t>ゼンタイ</t>
    </rPh>
    <phoneticPr fontId="32"/>
  </si>
  <si>
    <t>エネルギーコスト</t>
    <phoneticPr fontId="32"/>
  </si>
  <si>
    <t>千円/年</t>
    <rPh sb="0" eb="2">
      <t>センエン</t>
    </rPh>
    <rPh sb="3" eb="4">
      <t>ネン</t>
    </rPh>
    <phoneticPr fontId="32"/>
  </si>
  <si>
    <t>全体</t>
    <rPh sb="0" eb="2">
      <t>ゼンタイ</t>
    </rPh>
    <phoneticPr fontId="32"/>
  </si>
  <si>
    <t>【導入設備】</t>
    <rPh sb="1" eb="3">
      <t>ドウニュウ</t>
    </rPh>
    <rPh sb="3" eb="5">
      <t>セツビ</t>
    </rPh>
    <phoneticPr fontId="32"/>
  </si>
  <si>
    <t>既存
設備名</t>
    <rPh sb="0" eb="2">
      <t>キソン</t>
    </rPh>
    <rPh sb="3" eb="6">
      <t>セツビメイ</t>
    </rPh>
    <phoneticPr fontId="32"/>
  </si>
  <si>
    <t>導入
設備名</t>
    <rPh sb="0" eb="2">
      <t>ドウニュウ</t>
    </rPh>
    <rPh sb="3" eb="6">
      <t>セツビメイ</t>
    </rPh>
    <phoneticPr fontId="32"/>
  </si>
  <si>
    <t>GHP
APF入力</t>
    <rPh sb="7" eb="9">
      <t>ニュウリョク</t>
    </rPh>
    <phoneticPr fontId="32"/>
  </si>
  <si>
    <t>EHP
APF入力</t>
    <rPh sb="7" eb="9">
      <t>ニュウリョク</t>
    </rPh>
    <phoneticPr fontId="32"/>
  </si>
  <si>
    <t>空冷HP
チラー</t>
    <rPh sb="0" eb="2">
      <t>クウレイ</t>
    </rPh>
    <phoneticPr fontId="32"/>
  </si>
  <si>
    <t>水冷HP
チラー</t>
    <rPh sb="0" eb="2">
      <t>スイレイ</t>
    </rPh>
    <phoneticPr fontId="32"/>
  </si>
  <si>
    <t>遠心
冷凍機</t>
    <rPh sb="0" eb="2">
      <t>エンシン</t>
    </rPh>
    <rPh sb="3" eb="6">
      <t>レイトウキ</t>
    </rPh>
    <phoneticPr fontId="32"/>
  </si>
  <si>
    <t>タイプ</t>
    <phoneticPr fontId="32"/>
  </si>
  <si>
    <t>高効率</t>
    <rPh sb="0" eb="3">
      <t>コウコウリツ</t>
    </rPh>
    <phoneticPr fontId="32"/>
  </si>
  <si>
    <t>燃料転換</t>
    <rPh sb="0" eb="4">
      <t>ネンリョウテンカン</t>
    </rPh>
    <phoneticPr fontId="32"/>
  </si>
  <si>
    <t>電化</t>
    <rPh sb="0" eb="2">
      <t>デンカ</t>
    </rPh>
    <phoneticPr fontId="32"/>
  </si>
  <si>
    <t>がある</t>
    <phoneticPr fontId="32"/>
  </si>
  <si>
    <t>定格冷房燃料（電力）消費量</t>
    <rPh sb="0" eb="2">
      <t>テイカク</t>
    </rPh>
    <rPh sb="2" eb="4">
      <t>レイボウ</t>
    </rPh>
    <rPh sb="4" eb="6">
      <t>ネンリョウ</t>
    </rPh>
    <rPh sb="7" eb="9">
      <t>デンリョク</t>
    </rPh>
    <rPh sb="10" eb="13">
      <t>ショウヒリョウ</t>
    </rPh>
    <phoneticPr fontId="32"/>
  </si>
  <si>
    <t>場合。</t>
    <rPh sb="0" eb="2">
      <t>バアイ</t>
    </rPh>
    <phoneticPr fontId="32"/>
  </si>
  <si>
    <t>定格暖房燃料（電力）消費量</t>
    <rPh sb="0" eb="2">
      <t>テイカク</t>
    </rPh>
    <rPh sb="2" eb="4">
      <t>ダンボウ</t>
    </rPh>
    <rPh sb="4" eb="6">
      <t>ネンリョウ</t>
    </rPh>
    <rPh sb="7" eb="9">
      <t>デンリョク</t>
    </rPh>
    <rPh sb="10" eb="13">
      <t>ショウヒリョウ</t>
    </rPh>
    <phoneticPr fontId="32"/>
  </si>
  <si>
    <t>定格冷房COP（一次エネルギー基準）</t>
    <rPh sb="0" eb="2">
      <t>テイカク</t>
    </rPh>
    <rPh sb="2" eb="4">
      <t>レイボウ</t>
    </rPh>
    <rPh sb="8" eb="10">
      <t>イチジ</t>
    </rPh>
    <rPh sb="15" eb="17">
      <t>キジュン</t>
    </rPh>
    <phoneticPr fontId="32"/>
  </si>
  <si>
    <t>定格暖房COP（一次エネルギー基準）</t>
    <rPh sb="0" eb="2">
      <t>テイカク</t>
    </rPh>
    <rPh sb="2" eb="4">
      <t>ダンボウ</t>
    </rPh>
    <rPh sb="8" eb="10">
      <t>イチジ</t>
    </rPh>
    <rPh sb="15" eb="17">
      <t>キジュン</t>
    </rPh>
    <phoneticPr fontId="32"/>
  </si>
  <si>
    <t>冷却塔ポンプモータ定格出力</t>
    <rPh sb="0" eb="3">
      <t>レイキャクトウ</t>
    </rPh>
    <rPh sb="9" eb="11">
      <t>テイカク</t>
    </rPh>
    <rPh sb="11" eb="13">
      <t>シュツリョク</t>
    </rPh>
    <phoneticPr fontId="32"/>
  </si>
  <si>
    <t>熱源水ポンプモータ定格出力</t>
    <rPh sb="0" eb="2">
      <t>ネツゲン</t>
    </rPh>
    <rPh sb="2" eb="3">
      <t>スイ</t>
    </rPh>
    <rPh sb="9" eb="11">
      <t>テイカク</t>
    </rPh>
    <rPh sb="11" eb="13">
      <t>シュツリョク</t>
    </rPh>
    <phoneticPr fontId="32"/>
  </si>
  <si>
    <t>千m3、千m3、ton、ton、千kWh/年(5列)</t>
    <rPh sb="0" eb="1">
      <t>センセン</t>
    </rPh>
    <phoneticPr fontId="32"/>
  </si>
  <si>
    <t>CO2排出量（主機）</t>
    <rPh sb="3" eb="6">
      <t>ハイシュツリョウ</t>
    </rPh>
    <rPh sb="7" eb="9">
      <t>シュキ</t>
    </rPh>
    <phoneticPr fontId="32"/>
  </si>
  <si>
    <t>CO2排出量（補機）</t>
    <rPh sb="3" eb="6">
      <t>ハイシュツリョウ</t>
    </rPh>
    <rPh sb="7" eb="9">
      <t>ホキ</t>
    </rPh>
    <phoneticPr fontId="32"/>
  </si>
  <si>
    <t>エネルギーコスト</t>
  </si>
  <si>
    <t>現在お使いの設備は何ですか？3種類の中からお選びください。</t>
    <rPh sb="0" eb="2">
      <t>ゲンザイ</t>
    </rPh>
    <rPh sb="3" eb="4">
      <t>ツカ</t>
    </rPh>
    <rPh sb="6" eb="8">
      <t>セツビ</t>
    </rPh>
    <rPh sb="9" eb="10">
      <t>ナニ</t>
    </rPh>
    <phoneticPr fontId="7"/>
  </si>
  <si>
    <t>天然ガス</t>
    <rPh sb="0" eb="2">
      <t>テンネン</t>
    </rPh>
    <phoneticPr fontId="7"/>
  </si>
  <si>
    <t>都市ガス13A</t>
    <rPh sb="0" eb="2">
      <t>トシ</t>
    </rPh>
    <phoneticPr fontId="7"/>
  </si>
  <si>
    <t>MJ/L</t>
    <phoneticPr fontId="7"/>
  </si>
  <si>
    <t>MJ/kg</t>
    <phoneticPr fontId="7"/>
  </si>
  <si>
    <t>MJ/Nm3</t>
    <phoneticPr fontId="7"/>
  </si>
  <si>
    <t>都市ガス12A</t>
    <rPh sb="0" eb="2">
      <t>トシ</t>
    </rPh>
    <phoneticPr fontId="7"/>
  </si>
  <si>
    <t>step1</t>
  </si>
  <si>
    <t>Step4</t>
  </si>
  <si>
    <t>GHP</t>
  </si>
  <si>
    <t>GHP</t>
    <phoneticPr fontId="7"/>
  </si>
  <si>
    <t>EHP</t>
    <phoneticPr fontId="7"/>
  </si>
  <si>
    <t>水冷(HP)チラー、空冷（HP）チラー</t>
    <rPh sb="0" eb="2">
      <t>スイレイ</t>
    </rPh>
    <rPh sb="10" eb="12">
      <t>クウレイ</t>
    </rPh>
    <phoneticPr fontId="7"/>
  </si>
  <si>
    <t>吸収式
冷凍機</t>
  </si>
  <si>
    <t>13A</t>
  </si>
  <si>
    <t>kW</t>
  </si>
  <si>
    <t>ー</t>
  </si>
  <si>
    <t>APF1</t>
  </si>
  <si>
    <r>
      <t>CO</t>
    </r>
    <r>
      <rPr>
        <vertAlign val="subscript"/>
        <sz val="10"/>
        <color theme="1"/>
        <rFont val="メイリオ"/>
        <family val="3"/>
        <charset val="128"/>
      </rPr>
      <t>2</t>
    </r>
    <r>
      <rPr>
        <sz val="10"/>
        <color theme="1"/>
        <rFont val="メイリオ"/>
        <family val="3"/>
        <charset val="128"/>
      </rPr>
      <t>排出量（全体）</t>
    </r>
    <rPh sb="3" eb="5">
      <t>ハイシュツ</t>
    </rPh>
    <rPh sb="5" eb="6">
      <t>リョウ</t>
    </rPh>
    <rPh sb="7" eb="9">
      <t>ゼンタイ</t>
    </rPh>
    <phoneticPr fontId="7"/>
  </si>
  <si>
    <t>エネルギーコスト（主機）</t>
    <rPh sb="9" eb="11">
      <t>シュキ</t>
    </rPh>
    <phoneticPr fontId="7"/>
  </si>
  <si>
    <t>エネルギーコスト（補機）</t>
    <rPh sb="9" eb="11">
      <t>ホキ</t>
    </rPh>
    <phoneticPr fontId="7"/>
  </si>
  <si>
    <t>エネルギーコスト（全体）</t>
    <rPh sb="9" eb="11">
      <t>ゼンタイ</t>
    </rPh>
    <phoneticPr fontId="7"/>
  </si>
  <si>
    <t>入力</t>
    <rPh sb="0" eb="2">
      <t>ニュウリョク</t>
    </rPh>
    <phoneticPr fontId="7"/>
  </si>
  <si>
    <t>吸収式冷凍機</t>
    <phoneticPr fontId="32"/>
  </si>
  <si>
    <t>LPG</t>
  </si>
  <si>
    <t>タイプ</t>
  </si>
  <si>
    <t>LNG</t>
  </si>
  <si>
    <t>APF2</t>
  </si>
  <si>
    <t>温水ボイラー</t>
    <rPh sb="0" eb="2">
      <t>オンスイ</t>
    </rPh>
    <phoneticPr fontId="7"/>
  </si>
  <si>
    <t>遠心冷凍機</t>
    <rPh sb="0" eb="5">
      <t>エンシンレイトウキ</t>
    </rPh>
    <phoneticPr fontId="7"/>
  </si>
  <si>
    <t>導入予定の設備は何ですか？7種類の中からお選びください。</t>
    <rPh sb="0" eb="4">
      <t>ドウニュウヨテイ</t>
    </rPh>
    <phoneticPr fontId="7"/>
  </si>
  <si>
    <t>APF</t>
    <phoneticPr fontId="32"/>
  </si>
  <si>
    <t>（全体）</t>
    <rPh sb="1" eb="3">
      <t>ゼンタイ</t>
    </rPh>
    <phoneticPr fontId="32"/>
  </si>
  <si>
    <t>エネルギーコスト（補機）</t>
    <rPh sb="9" eb="11">
      <t>ホキ</t>
    </rPh>
    <phoneticPr fontId="32"/>
  </si>
  <si>
    <t>C</t>
    <phoneticPr fontId="32"/>
  </si>
  <si>
    <t>D</t>
    <phoneticPr fontId="32"/>
  </si>
  <si>
    <t>A/C</t>
    <phoneticPr fontId="32"/>
  </si>
  <si>
    <t>B/D</t>
    <phoneticPr fontId="32"/>
  </si>
  <si>
    <t>冷却水ポンプモータ定格出力</t>
    <rPh sb="0" eb="3">
      <t>レイキャクスイ</t>
    </rPh>
    <rPh sb="9" eb="11">
      <t>テイカク</t>
    </rPh>
    <rPh sb="11" eb="13">
      <t>シュツリョク</t>
    </rPh>
    <phoneticPr fontId="32"/>
  </si>
  <si>
    <t>吸収式冷凍機</t>
    <rPh sb="0" eb="3">
      <t>キュウシュウシキ</t>
    </rPh>
    <rPh sb="3" eb="6">
      <t>レイトウキ</t>
    </rPh>
    <phoneticPr fontId="32"/>
  </si>
  <si>
    <t>①’</t>
    <phoneticPr fontId="32"/>
  </si>
  <si>
    <t>②’</t>
    <phoneticPr fontId="32"/>
  </si>
  <si>
    <t>電気</t>
    <rPh sb="0" eb="2">
      <t>デンキ</t>
    </rPh>
    <phoneticPr fontId="32"/>
  </si>
  <si>
    <t>既存設備</t>
    <rPh sb="0" eb="2">
      <t>キゾン</t>
    </rPh>
    <rPh sb="2" eb="4">
      <t>セツビ</t>
    </rPh>
    <phoneticPr fontId="32"/>
  </si>
  <si>
    <t>③＋④</t>
    <phoneticPr fontId="32"/>
  </si>
  <si>
    <t>⑤</t>
    <phoneticPr fontId="32"/>
  </si>
  <si>
    <t>⑥</t>
    <phoneticPr fontId="32"/>
  </si>
  <si>
    <t>定格冷房燃料消費量</t>
    <phoneticPr fontId="32"/>
  </si>
  <si>
    <t>C</t>
    <phoneticPr fontId="32"/>
  </si>
  <si>
    <t>D</t>
    <phoneticPr fontId="32"/>
  </si>
  <si>
    <t>①</t>
    <phoneticPr fontId="32"/>
  </si>
  <si>
    <t>②</t>
    <phoneticPr fontId="32"/>
  </si>
  <si>
    <t>温水ボイラー</t>
    <rPh sb="0" eb="2">
      <t>オンスイ</t>
    </rPh>
    <phoneticPr fontId="32"/>
  </si>
  <si>
    <t xml:space="preserve"> </t>
    <phoneticPr fontId="32"/>
  </si>
  <si>
    <t>既存計算式</t>
    <rPh sb="0" eb="2">
      <t>キゾン</t>
    </rPh>
    <rPh sb="2" eb="5">
      <t>ケイサンシキ</t>
    </rPh>
    <phoneticPr fontId="32"/>
  </si>
  <si>
    <t>W</t>
    <phoneticPr fontId="32"/>
  </si>
  <si>
    <t>X</t>
    <phoneticPr fontId="32"/>
  </si>
  <si>
    <t>Y</t>
    <phoneticPr fontId="32"/>
  </si>
  <si>
    <t>Z</t>
    <phoneticPr fontId="32"/>
  </si>
  <si>
    <t>その設備の燃料は何ですか？4種類の中からお選びください。</t>
    <rPh sb="2" eb="4">
      <t>セツビ</t>
    </rPh>
    <rPh sb="5" eb="7">
      <t>ネンリョウ</t>
    </rPh>
    <phoneticPr fontId="7"/>
  </si>
  <si>
    <t>導入計算式</t>
    <rPh sb="0" eb="2">
      <t>ドウニュウ</t>
    </rPh>
    <rPh sb="2" eb="5">
      <t>ケイサンシキ</t>
    </rPh>
    <phoneticPr fontId="32"/>
  </si>
  <si>
    <t>W/Y</t>
    <phoneticPr fontId="32"/>
  </si>
  <si>
    <t>X/Z</t>
    <phoneticPr fontId="32"/>
  </si>
  <si>
    <t>⑦’</t>
    <phoneticPr fontId="32"/>
  </si>
  <si>
    <t>⑧’</t>
    <phoneticPr fontId="32"/>
  </si>
  <si>
    <t>⑦＋⑧</t>
    <phoneticPr fontId="32"/>
  </si>
  <si>
    <t>⑦’＋⑧’</t>
    <phoneticPr fontId="32"/>
  </si>
  <si>
    <t>⑨</t>
    <phoneticPr fontId="32"/>
  </si>
  <si>
    <t>⑩</t>
    <phoneticPr fontId="32"/>
  </si>
  <si>
    <t>⑨＋⑩</t>
    <phoneticPr fontId="32"/>
  </si>
  <si>
    <t>↑電気以外</t>
    <rPh sb="1" eb="5">
      <t>デンキイガイ</t>
    </rPh>
    <phoneticPr fontId="32"/>
  </si>
  <si>
    <t>↑電気</t>
    <rPh sb="1" eb="3">
      <t>デンキ</t>
    </rPh>
    <phoneticPr fontId="32"/>
  </si>
  <si>
    <t>←導入CO2排出係数</t>
    <rPh sb="1" eb="3">
      <t>ドウニュウ</t>
    </rPh>
    <phoneticPr fontId="32"/>
  </si>
  <si>
    <t>★</t>
    <phoneticPr fontId="32"/>
  </si>
  <si>
    <t>☆</t>
    <phoneticPr fontId="32"/>
  </si>
  <si>
    <t>遠心冷凍機</t>
    <rPh sb="0" eb="2">
      <t>エンシン</t>
    </rPh>
    <rPh sb="2" eb="5">
      <t>レイトウキ</t>
    </rPh>
    <phoneticPr fontId="32"/>
  </si>
  <si>
    <t>熱源水ポンプ消費電力</t>
    <phoneticPr fontId="32"/>
  </si>
  <si>
    <t>既存燃料の高位発熱量↑</t>
    <rPh sb="0" eb="2">
      <t>キソン</t>
    </rPh>
    <rPh sb="2" eb="4">
      <t>ネンリョウ</t>
    </rPh>
    <rPh sb="5" eb="7">
      <t>コウイ</t>
    </rPh>
    <rPh sb="7" eb="10">
      <t>ハツネツリョウ</t>
    </rPh>
    <phoneticPr fontId="32"/>
  </si>
  <si>
    <t>　</t>
    <phoneticPr fontId="32"/>
  </si>
  <si>
    <t>↑導入燃料の高位発熱量</t>
    <rPh sb="1" eb="3">
      <t>ドウニュウ</t>
    </rPh>
    <rPh sb="3" eb="5">
      <t>ネンリョウ</t>
    </rPh>
    <phoneticPr fontId="32"/>
  </si>
  <si>
    <t xml:space="preserve"> </t>
    <phoneticPr fontId="7"/>
  </si>
  <si>
    <t>【電動式】</t>
    <rPh sb="1" eb="4">
      <t>デンドウシキ</t>
    </rPh>
    <phoneticPr fontId="32"/>
  </si>
  <si>
    <t>その１</t>
    <phoneticPr fontId="32"/>
  </si>
  <si>
    <t>温暖地（γ＜＝ １）を対象とする。</t>
    <rPh sb="0" eb="3">
      <t>オンダンチ</t>
    </rPh>
    <rPh sb="11" eb="13">
      <t>タイショウ</t>
    </rPh>
    <phoneticPr fontId="32"/>
  </si>
  <si>
    <t>２．電力使用量の入力</t>
    <rPh sb="2" eb="4">
      <t>デンリョク</t>
    </rPh>
    <rPh sb="4" eb="7">
      <t>シヨウリョウ</t>
    </rPh>
    <rPh sb="8" eb="10">
      <t>ニュウリョク</t>
    </rPh>
    <phoneticPr fontId="32"/>
  </si>
  <si>
    <t>注：</t>
    <rPh sb="0" eb="1">
      <t>チュウ</t>
    </rPh>
    <phoneticPr fontId="32"/>
  </si>
  <si>
    <t>非表示行があるが、入力数値を合理的に求めるための作業であり、無視してよい。</t>
    <rPh sb="0" eb="4">
      <t>ヒヒョウジギョウ</t>
    </rPh>
    <rPh sb="9" eb="11">
      <t>ニュウリョク</t>
    </rPh>
    <rPh sb="11" eb="13">
      <t>スウチ</t>
    </rPh>
    <rPh sb="14" eb="16">
      <t>ゴウリ</t>
    </rPh>
    <rPh sb="16" eb="17">
      <t>テキ</t>
    </rPh>
    <rPh sb="18" eb="19">
      <t>モト</t>
    </rPh>
    <rPh sb="24" eb="26">
      <t>サギョウ</t>
    </rPh>
    <rPh sb="30" eb="32">
      <t>ムシ</t>
    </rPh>
    <phoneticPr fontId="32"/>
  </si>
  <si>
    <t>非表示</t>
    <rPh sb="0" eb="3">
      <t>ヒヒョウジ</t>
    </rPh>
    <phoneticPr fontId="32"/>
  </si>
  <si>
    <t>定格消費電力</t>
    <rPh sb="0" eb="2">
      <t>テイカク</t>
    </rPh>
    <rPh sb="2" eb="6">
      <t>ショウヒデンリョク</t>
    </rPh>
    <phoneticPr fontId="32"/>
  </si>
  <si>
    <t>運転時間</t>
    <rPh sb="0" eb="4">
      <t>ウンテンジカン</t>
    </rPh>
    <phoneticPr fontId="32"/>
  </si>
  <si>
    <t>h/day</t>
    <phoneticPr fontId="32"/>
  </si>
  <si>
    <t>日/月</t>
    <rPh sb="0" eb="1">
      <t>ニチ</t>
    </rPh>
    <rPh sb="2" eb="3">
      <t>ツキ</t>
    </rPh>
    <phoneticPr fontId="32"/>
  </si>
  <si>
    <t>ヶ月</t>
    <rPh sb="1" eb="2">
      <t>ゲツ</t>
    </rPh>
    <phoneticPr fontId="32"/>
  </si>
  <si>
    <t>（4.5～10月）</t>
    <rPh sb="7" eb="8">
      <t>ガツ</t>
    </rPh>
    <phoneticPr fontId="32"/>
  </si>
  <si>
    <t>負荷率</t>
    <rPh sb="0" eb="3">
      <t>フカリツ</t>
    </rPh>
    <phoneticPr fontId="32"/>
  </si>
  <si>
    <t>期間消費電力</t>
    <rPh sb="0" eb="6">
      <t>キカンショウヒデンリョク</t>
    </rPh>
    <phoneticPr fontId="32"/>
  </si>
  <si>
    <t>kWh</t>
    <phoneticPr fontId="32"/>
  </si>
  <si>
    <t>（11.5～3月）</t>
    <rPh sb="7" eb="8">
      <t>ガツ</t>
    </rPh>
    <phoneticPr fontId="32"/>
  </si>
  <si>
    <t>（5～10.5月）</t>
    <rPh sb="7" eb="8">
      <t>ガツ</t>
    </rPh>
    <phoneticPr fontId="32"/>
  </si>
  <si>
    <t>冷房</t>
    <rPh sb="0" eb="2">
      <t>レイボウ</t>
    </rPh>
    <phoneticPr fontId="32"/>
  </si>
  <si>
    <t>暖房</t>
    <rPh sb="0" eb="2">
      <t>ダンボウ</t>
    </rPh>
    <phoneticPr fontId="32"/>
  </si>
  <si>
    <t>消費電力への乗率</t>
    <rPh sb="0" eb="4">
      <t>ショウヒデンリョク</t>
    </rPh>
    <rPh sb="6" eb="8">
      <t>ジョウリツ</t>
    </rPh>
    <phoneticPr fontId="32"/>
  </si>
  <si>
    <t>電力使用量</t>
    <rPh sb="0" eb="5">
      <t>デンリョクシヨウリョウ</t>
    </rPh>
    <phoneticPr fontId="32"/>
  </si>
  <si>
    <t>P　　＝</t>
    <phoneticPr fontId="32"/>
  </si>
  <si>
    <t>補機電力</t>
    <rPh sb="0" eb="4">
      <t>ホキデンリョク</t>
    </rPh>
    <phoneticPr fontId="32"/>
  </si>
  <si>
    <t>ファン</t>
    <phoneticPr fontId="32"/>
  </si>
  <si>
    <t>冷却水P</t>
    <rPh sb="0" eb="3">
      <t>レイキャクスイ</t>
    </rPh>
    <phoneticPr fontId="32"/>
  </si>
  <si>
    <t>冷温水P</t>
    <rPh sb="0" eb="3">
      <t>レイオンスイ</t>
    </rPh>
    <phoneticPr fontId="32"/>
  </si>
  <si>
    <t>合計</t>
    <rPh sb="0" eb="2">
      <t>ゴウケイ</t>
    </rPh>
    <phoneticPr fontId="32"/>
  </si>
  <si>
    <t>熱源水P</t>
    <rPh sb="0" eb="3">
      <t>ネツゲンスイ</t>
    </rPh>
    <phoneticPr fontId="32"/>
  </si>
  <si>
    <t>空研カタログ</t>
    <rPh sb="0" eb="2">
      <t>クウケン</t>
    </rPh>
    <phoneticPr fontId="32"/>
  </si>
  <si>
    <t>３．既存設備の仕様を入力</t>
    <rPh sb="2" eb="6">
      <t>キソンセツビ</t>
    </rPh>
    <rPh sb="7" eb="9">
      <t>シヨウ</t>
    </rPh>
    <rPh sb="10" eb="12">
      <t>ニュウリョク</t>
    </rPh>
    <phoneticPr fontId="32"/>
  </si>
  <si>
    <t>非表示①</t>
    <rPh sb="0" eb="3">
      <t>ヒヒョウジ</t>
    </rPh>
    <phoneticPr fontId="32"/>
  </si>
  <si>
    <t>備考欄</t>
    <rPh sb="0" eb="2">
      <t>ビコウ</t>
    </rPh>
    <rPh sb="2" eb="3">
      <t>ラン</t>
    </rPh>
    <phoneticPr fontId="32"/>
  </si>
  <si>
    <t>補機の</t>
    <rPh sb="0" eb="2">
      <t>ホキ</t>
    </rPh>
    <phoneticPr fontId="32"/>
  </si>
  <si>
    <t>（非表示）</t>
    <rPh sb="1" eb="4">
      <t>ヒヒョウジ</t>
    </rPh>
    <phoneticPr fontId="32"/>
  </si>
  <si>
    <t>使用時期</t>
    <rPh sb="0" eb="4">
      <t>シヨウジキ</t>
    </rPh>
    <phoneticPr fontId="32"/>
  </si>
  <si>
    <t>冷房/暖房</t>
    <rPh sb="0" eb="2">
      <t>レイボウ</t>
    </rPh>
    <rPh sb="3" eb="5">
      <t>ダンボウ</t>
    </rPh>
    <phoneticPr fontId="32"/>
  </si>
  <si>
    <t>冷温水ポンプ流量</t>
    <rPh sb="0" eb="3">
      <t>レイオンスイ</t>
    </rPh>
    <rPh sb="6" eb="8">
      <t>リュウリョウ</t>
    </rPh>
    <phoneticPr fontId="32"/>
  </si>
  <si>
    <t>Q　＝</t>
    <phoneticPr fontId="32"/>
  </si>
  <si>
    <t>m3/s</t>
    <phoneticPr fontId="32"/>
  </si>
  <si>
    <t>ヘッド</t>
    <phoneticPr fontId="32"/>
  </si>
  <si>
    <t>H　　＝</t>
    <phoneticPr fontId="32"/>
  </si>
  <si>
    <t>m　とする。</t>
    <phoneticPr fontId="32"/>
  </si>
  <si>
    <t>効率</t>
    <rPh sb="0" eb="2">
      <t>コウリツ</t>
    </rPh>
    <phoneticPr fontId="32"/>
  </si>
  <si>
    <t>ηp　＝</t>
    <phoneticPr fontId="32"/>
  </si>
  <si>
    <t>　とする。</t>
    <phoneticPr fontId="32"/>
  </si>
  <si>
    <t>所要動力</t>
    <rPh sb="0" eb="2">
      <t>ショヨウ</t>
    </rPh>
    <rPh sb="2" eb="4">
      <t>ドウリョク</t>
    </rPh>
    <phoneticPr fontId="32"/>
  </si>
  <si>
    <t>Pp　＝9.81*Q*H/ηp</t>
    <phoneticPr fontId="32"/>
  </si>
  <si>
    <t>冷暖</t>
    <rPh sb="0" eb="2">
      <t>レイダン</t>
    </rPh>
    <phoneticPr fontId="32"/>
  </si>
  <si>
    <t>冷</t>
    <rPh sb="0" eb="1">
      <t>レイ</t>
    </rPh>
    <phoneticPr fontId="32"/>
  </si>
  <si>
    <t>冷却塔</t>
    <rPh sb="0" eb="3">
      <t>レイキャクトウ</t>
    </rPh>
    <phoneticPr fontId="32"/>
  </si>
  <si>
    <t>RT</t>
    <phoneticPr fontId="32"/>
  </si>
  <si>
    <t>60RT 選定</t>
    <rPh sb="5" eb="7">
      <t>センテイ</t>
    </rPh>
    <phoneticPr fontId="32"/>
  </si>
  <si>
    <t>流量</t>
    <rPh sb="0" eb="2">
      <t>リュウリョウ</t>
    </rPh>
    <phoneticPr fontId="32"/>
  </si>
  <si>
    <t>m3/h</t>
    <phoneticPr fontId="32"/>
  </si>
  <si>
    <t>熱源量</t>
    <rPh sb="0" eb="3">
      <t>ネツゲンリョウ</t>
    </rPh>
    <phoneticPr fontId="32"/>
  </si>
  <si>
    <t>Pps1</t>
    <phoneticPr fontId="32"/>
  </si>
  <si>
    <t>暖</t>
    <rPh sb="0" eb="1">
      <t>ダン</t>
    </rPh>
    <phoneticPr fontId="32"/>
  </si>
  <si>
    <t>kW　＝</t>
    <phoneticPr fontId="32"/>
  </si>
  <si>
    <t>RTを選定</t>
    <rPh sb="3" eb="5">
      <t>センテイ</t>
    </rPh>
    <phoneticPr fontId="32"/>
  </si>
  <si>
    <t>300RT 選定</t>
    <rPh sb="6" eb="8">
      <t>センテイ</t>
    </rPh>
    <phoneticPr fontId="32"/>
  </si>
  <si>
    <t>冷却能力</t>
    <rPh sb="0" eb="4">
      <t>レイキャクノウリョク</t>
    </rPh>
    <phoneticPr fontId="32"/>
  </si>
  <si>
    <t>既存設備名</t>
    <rPh sb="0" eb="2">
      <t>キソン</t>
    </rPh>
    <rPh sb="2" eb="4">
      <t>セツビ</t>
    </rPh>
    <rPh sb="4" eb="5">
      <t>メイ</t>
    </rPh>
    <phoneticPr fontId="32"/>
  </si>
  <si>
    <t>①
EHP</t>
    <phoneticPr fontId="32"/>
  </si>
  <si>
    <t>①’
EHP</t>
    <phoneticPr fontId="32"/>
  </si>
  <si>
    <t>②空冷
HPチラー</t>
    <rPh sb="1" eb="3">
      <t>クウレイ</t>
    </rPh>
    <phoneticPr fontId="32"/>
  </si>
  <si>
    <t>③水冷
HPチラー</t>
    <rPh sb="1" eb="3">
      <t>スイレイ</t>
    </rPh>
    <phoneticPr fontId="32"/>
  </si>
  <si>
    <t>④遠心
冷凍機</t>
    <rPh sb="4" eb="7">
      <t>レイトウキ</t>
    </rPh>
    <phoneticPr fontId="32"/>
  </si>
  <si>
    <t>APF1入力</t>
    <rPh sb="4" eb="6">
      <t>ニュウリョク</t>
    </rPh>
    <phoneticPr fontId="32"/>
  </si>
  <si>
    <t>水冷HPチラーの冷却水温度補正</t>
    <rPh sb="0" eb="2">
      <t>スイレイ</t>
    </rPh>
    <rPh sb="8" eb="11">
      <t>レイキャクスイ</t>
    </rPh>
    <rPh sb="11" eb="13">
      <t>オンド</t>
    </rPh>
    <rPh sb="13" eb="15">
      <t>ホセイ</t>
    </rPh>
    <phoneticPr fontId="32"/>
  </si>
  <si>
    <t>冷水出口</t>
    <rPh sb="0" eb="2">
      <t>レイスイ</t>
    </rPh>
    <rPh sb="2" eb="4">
      <t>デグチ</t>
    </rPh>
    <phoneticPr fontId="32"/>
  </si>
  <si>
    <t>冷却水入口</t>
    <rPh sb="0" eb="3">
      <t>レイキャクスイ</t>
    </rPh>
    <rPh sb="3" eb="5">
      <t>イリグチ</t>
    </rPh>
    <phoneticPr fontId="32"/>
  </si>
  <si>
    <t>冷却能力</t>
    <rPh sb="0" eb="2">
      <t>レイキャク</t>
    </rPh>
    <rPh sb="2" eb="4">
      <t>ノウリョク</t>
    </rPh>
    <phoneticPr fontId="32"/>
  </si>
  <si>
    <t>消費電力</t>
    <rPh sb="0" eb="4">
      <t>ショウヒデンリョク</t>
    </rPh>
    <phoneticPr fontId="32"/>
  </si>
  <si>
    <t>理論COP</t>
    <rPh sb="0" eb="2">
      <t>リロン</t>
    </rPh>
    <phoneticPr fontId="32"/>
  </si>
  <si>
    <t>℃</t>
    <phoneticPr fontId="32"/>
  </si>
  <si>
    <t>ターボ・他</t>
    <rPh sb="4" eb="5">
      <t>ホカ</t>
    </rPh>
    <phoneticPr fontId="32"/>
  </si>
  <si>
    <t>水冷チラー</t>
    <rPh sb="0" eb="2">
      <t>スイレイ</t>
    </rPh>
    <phoneticPr fontId="32"/>
  </si>
  <si>
    <t>比率</t>
    <rPh sb="0" eb="2">
      <t>ヒリツ</t>
    </rPh>
    <phoneticPr fontId="32"/>
  </si>
  <si>
    <t>４．導入予定設備の選択</t>
    <phoneticPr fontId="32"/>
  </si>
  <si>
    <t>５．導入予定設備の仕様を入力</t>
    <rPh sb="2" eb="4">
      <t>ドウニュウ</t>
    </rPh>
    <rPh sb="4" eb="6">
      <t>ヨテイ</t>
    </rPh>
    <rPh sb="6" eb="8">
      <t>セツビ</t>
    </rPh>
    <rPh sb="9" eb="11">
      <t>シヨウ</t>
    </rPh>
    <rPh sb="12" eb="14">
      <t>ニュウリョク</t>
    </rPh>
    <phoneticPr fontId="32"/>
  </si>
  <si>
    <t>導入予定設備名</t>
    <rPh sb="0" eb="2">
      <t>ドウニュウ</t>
    </rPh>
    <rPh sb="2" eb="4">
      <t>ヨテイ</t>
    </rPh>
    <rPh sb="4" eb="6">
      <t>セツビ</t>
    </rPh>
    <rPh sb="6" eb="7">
      <t>メイ</t>
    </rPh>
    <phoneticPr fontId="32"/>
  </si>
  <si>
    <t>(*1)     Pf2</t>
    <phoneticPr fontId="32"/>
  </si>
  <si>
    <t>(*2)</t>
    <phoneticPr fontId="32"/>
  </si>
  <si>
    <t>ユニット台数</t>
    <rPh sb="4" eb="6">
      <t>ダイスウ</t>
    </rPh>
    <phoneticPr fontId="32"/>
  </si>
  <si>
    <t>N</t>
    <phoneticPr fontId="32"/>
  </si>
  <si>
    <t xml:space="preserve">(*3)  </t>
    <phoneticPr fontId="32"/>
  </si>
  <si>
    <t>注１：</t>
    <rPh sb="0" eb="1">
      <t>チュウ</t>
    </rPh>
    <phoneticPr fontId="32"/>
  </si>
  <si>
    <t>青字</t>
    <rPh sb="0" eb="2">
      <t>アオジ</t>
    </rPh>
    <phoneticPr fontId="32"/>
  </si>
  <si>
    <t>：冷房時稼働</t>
    <rPh sb="1" eb="4">
      <t>レイボウジ</t>
    </rPh>
    <rPh sb="4" eb="6">
      <t>カドウ</t>
    </rPh>
    <phoneticPr fontId="32"/>
  </si>
  <si>
    <t>赤字</t>
    <rPh sb="0" eb="2">
      <t>アカジ</t>
    </rPh>
    <phoneticPr fontId="32"/>
  </si>
  <si>
    <t>：暖房時稼働</t>
    <rPh sb="1" eb="3">
      <t>ダンボウ</t>
    </rPh>
    <rPh sb="3" eb="4">
      <t>ジ</t>
    </rPh>
    <rPh sb="4" eb="6">
      <t>カドウ</t>
    </rPh>
    <phoneticPr fontId="32"/>
  </si>
  <si>
    <t>黒字</t>
    <rPh sb="0" eb="2">
      <t>クロジ</t>
    </rPh>
    <phoneticPr fontId="32"/>
  </si>
  <si>
    <t>：冷・暖時稼働</t>
    <rPh sb="1" eb="2">
      <t>レイ</t>
    </rPh>
    <rPh sb="3" eb="4">
      <t>ダン</t>
    </rPh>
    <rPh sb="4" eb="5">
      <t>ジ</t>
    </rPh>
    <rPh sb="5" eb="7">
      <t>カドウ</t>
    </rPh>
    <phoneticPr fontId="32"/>
  </si>
  <si>
    <t>注２：</t>
    <rPh sb="0" eb="1">
      <t>チュウ</t>
    </rPh>
    <phoneticPr fontId="32"/>
  </si>
  <si>
    <t>３．①'項で、APF1に数値入力がある場合は、本表の「①EHP」列の入力は不要である。</t>
    <rPh sb="4" eb="5">
      <t>コウ</t>
    </rPh>
    <rPh sb="12" eb="16">
      <t>スウチニュウリョク</t>
    </rPh>
    <rPh sb="19" eb="21">
      <t>バアイ</t>
    </rPh>
    <rPh sb="23" eb="25">
      <t>ホンヒョウ</t>
    </rPh>
    <rPh sb="32" eb="33">
      <t>レツ</t>
    </rPh>
    <rPh sb="34" eb="36">
      <t>ニュウリョク</t>
    </rPh>
    <rPh sb="37" eb="39">
      <t>フヨウ</t>
    </rPh>
    <phoneticPr fontId="32"/>
  </si>
  <si>
    <t>注３：</t>
    <rPh sb="0" eb="1">
      <t>チュウ</t>
    </rPh>
    <phoneticPr fontId="32"/>
  </si>
  <si>
    <t>ユニット台数は、可能な限り N＝Φco1/Φco2 となるよう定めること。</t>
    <rPh sb="4" eb="6">
      <t>ダイスウ</t>
    </rPh>
    <rPh sb="8" eb="10">
      <t>カノウ</t>
    </rPh>
    <rPh sb="11" eb="12">
      <t>カギ</t>
    </rPh>
    <rPh sb="31" eb="32">
      <t>サダ</t>
    </rPh>
    <phoneticPr fontId="32"/>
  </si>
  <si>
    <t>また、導入設備が複数の方式からなる場合は、導入設備の総能力が既存機の能力に</t>
    <rPh sb="3" eb="5">
      <t>ドウニュウ</t>
    </rPh>
    <rPh sb="5" eb="7">
      <t>セツビ</t>
    </rPh>
    <rPh sb="8" eb="10">
      <t>フクスウ</t>
    </rPh>
    <rPh sb="11" eb="13">
      <t>ホウシキ</t>
    </rPh>
    <rPh sb="17" eb="19">
      <t>バアイ</t>
    </rPh>
    <rPh sb="21" eb="23">
      <t>ドウニュウ</t>
    </rPh>
    <rPh sb="23" eb="25">
      <t>セツビ</t>
    </rPh>
    <rPh sb="26" eb="27">
      <t>ソウ</t>
    </rPh>
    <rPh sb="27" eb="29">
      <t>ノウリョク</t>
    </rPh>
    <rPh sb="30" eb="32">
      <t>キゾン</t>
    </rPh>
    <rPh sb="32" eb="33">
      <t>キ</t>
    </rPh>
    <rPh sb="34" eb="36">
      <t>ノウリョク</t>
    </rPh>
    <phoneticPr fontId="32"/>
  </si>
  <si>
    <t>合致するよう各方式のユニット台数を決める必要がある。</t>
    <rPh sb="0" eb="2">
      <t>ガッチ</t>
    </rPh>
    <rPh sb="6" eb="9">
      <t>カクホウシキ</t>
    </rPh>
    <rPh sb="14" eb="16">
      <t>ダイスウ</t>
    </rPh>
    <rPh sb="17" eb="18">
      <t>キ</t>
    </rPh>
    <rPh sb="20" eb="22">
      <t>ヒツヨウ</t>
    </rPh>
    <phoneticPr fontId="32"/>
  </si>
  <si>
    <t>６．電力単価の入力</t>
    <phoneticPr fontId="32"/>
  </si>
  <si>
    <t>電力単価</t>
    <rPh sb="0" eb="2">
      <t>デンリョク</t>
    </rPh>
    <rPh sb="2" eb="4">
      <t>タンカ</t>
    </rPh>
    <phoneticPr fontId="32"/>
  </si>
  <si>
    <t>Step7</t>
  </si>
  <si>
    <t>７．算定結果の出力</t>
    <rPh sb="2" eb="6">
      <t>サンテイケッカ</t>
    </rPh>
    <rPh sb="7" eb="9">
      <t>シュツリョク</t>
    </rPh>
    <phoneticPr fontId="32"/>
  </si>
  <si>
    <t>kg-co2/kWh（東京電力）</t>
    <rPh sb="11" eb="15">
      <t>トウキョウデンリョク</t>
    </rPh>
    <phoneticPr fontId="32"/>
  </si>
  <si>
    <t>水冷HPチラーの冷却水温度の差異補正</t>
    <rPh sb="0" eb="2">
      <t>スイレイ</t>
    </rPh>
    <rPh sb="8" eb="11">
      <t>レイキャクスイ</t>
    </rPh>
    <rPh sb="11" eb="13">
      <t>オンド</t>
    </rPh>
    <rPh sb="14" eb="16">
      <t>サイ</t>
    </rPh>
    <rPh sb="16" eb="18">
      <t>ホセイ</t>
    </rPh>
    <phoneticPr fontId="32"/>
  </si>
  <si>
    <t>水冷HPチラーの冷却水温度定格条件（30℃）が遠心冷凍機や吸収式冷凍機のそれ（32℃）と</t>
    <rPh sb="0" eb="2">
      <t>スイレイ</t>
    </rPh>
    <rPh sb="8" eb="13">
      <t>レイキャクスイオンド</t>
    </rPh>
    <rPh sb="13" eb="17">
      <t>テイカクジョウケン</t>
    </rPh>
    <rPh sb="23" eb="28">
      <t>エンシンレイトウキ</t>
    </rPh>
    <rPh sb="29" eb="35">
      <t>キュウシュウシキレイトウキ</t>
    </rPh>
    <phoneticPr fontId="32"/>
  </si>
  <si>
    <t>異なっている。これを水冷HPチラーの性能を基準にして以下のように補正する。</t>
    <rPh sb="10" eb="12">
      <t>スイレイ</t>
    </rPh>
    <rPh sb="18" eb="20">
      <t>セイノウ</t>
    </rPh>
    <rPh sb="21" eb="23">
      <t>キジュン</t>
    </rPh>
    <rPh sb="26" eb="28">
      <t>イカ</t>
    </rPh>
    <rPh sb="32" eb="34">
      <t>ホセイ</t>
    </rPh>
    <phoneticPr fontId="32"/>
  </si>
  <si>
    <t>成績係数（COP）</t>
    <rPh sb="0" eb="4">
      <t>セイセキケイスウ</t>
    </rPh>
    <phoneticPr fontId="32"/>
  </si>
  <si>
    <t>（逆カルノーサイクルによる理論値（冷水出口温度7℃））</t>
    <rPh sb="1" eb="2">
      <t>ギャク</t>
    </rPh>
    <rPh sb="13" eb="16">
      <t>リロンチ</t>
    </rPh>
    <rPh sb="17" eb="23">
      <t>レイスイデグチオンド</t>
    </rPh>
    <phoneticPr fontId="32"/>
  </si>
  <si>
    <t>（簡単のため補正無しとする）</t>
    <rPh sb="1" eb="3">
      <t>カンタン</t>
    </rPh>
    <rPh sb="6" eb="9">
      <t>ホセイナ</t>
    </rPh>
    <phoneticPr fontId="32"/>
  </si>
  <si>
    <t>空冷
HPチラー</t>
    <rPh sb="0" eb="2">
      <t>クウレイ</t>
    </rPh>
    <phoneticPr fontId="32"/>
  </si>
  <si>
    <t>水冷
HPチラー</t>
    <rPh sb="0" eb="2">
      <t>スイレイ</t>
    </rPh>
    <phoneticPr fontId="32"/>
  </si>
  <si>
    <t>定格暖房COP</t>
    <rPh sb="0" eb="2">
      <t>テイカク</t>
    </rPh>
    <rPh sb="2" eb="4">
      <t>ダンボウ</t>
    </rPh>
    <phoneticPr fontId="32"/>
  </si>
  <si>
    <t>主機電力使用量（冷房）</t>
    <rPh sb="0" eb="2">
      <t>シュキ</t>
    </rPh>
    <rPh sb="2" eb="4">
      <t>デンリョク</t>
    </rPh>
    <rPh sb="4" eb="7">
      <t>シヨウリョウ</t>
    </rPh>
    <rPh sb="8" eb="10">
      <t>レイボウ</t>
    </rPh>
    <phoneticPr fontId="32"/>
  </si>
  <si>
    <t>千kWh</t>
    <phoneticPr fontId="32"/>
  </si>
  <si>
    <t>主機電力使用量（暖房）</t>
    <rPh sb="0" eb="2">
      <t>シュキ</t>
    </rPh>
    <rPh sb="2" eb="4">
      <t>デンリョク</t>
    </rPh>
    <rPh sb="4" eb="7">
      <t>シヨウリョウ</t>
    </rPh>
    <rPh sb="8" eb="10">
      <t>ダンボウ</t>
    </rPh>
    <phoneticPr fontId="32"/>
  </si>
  <si>
    <t>主機電力使用量（合計）</t>
    <rPh sb="0" eb="2">
      <t>シュキ</t>
    </rPh>
    <rPh sb="2" eb="4">
      <t>デンリョク</t>
    </rPh>
    <rPh sb="4" eb="7">
      <t>シヨウリョウ</t>
    </rPh>
    <rPh sb="8" eb="10">
      <t>ゴウケイ</t>
    </rPh>
    <phoneticPr fontId="32"/>
  </si>
  <si>
    <t>補機電力使用量（合計）</t>
    <rPh sb="0" eb="2">
      <t>ホキ</t>
    </rPh>
    <rPh sb="2" eb="4">
      <t>デンリョク</t>
    </rPh>
    <rPh sb="4" eb="7">
      <t>シヨウリョウ</t>
    </rPh>
    <rPh sb="8" eb="10">
      <t>ゴウケイ</t>
    </rPh>
    <phoneticPr fontId="32"/>
  </si>
  <si>
    <t>システム全体電力使用量</t>
    <rPh sb="4" eb="6">
      <t>ゼンタイ</t>
    </rPh>
    <rPh sb="6" eb="11">
      <t>デンリョクシヨウリョウ</t>
    </rPh>
    <phoneticPr fontId="32"/>
  </si>
  <si>
    <t>千kWn/年</t>
    <rPh sb="0" eb="1">
      <t>セン</t>
    </rPh>
    <rPh sb="5" eb="6">
      <t>ネン</t>
    </rPh>
    <phoneticPr fontId="32"/>
  </si>
  <si>
    <t>t-CO2</t>
    <phoneticPr fontId="32"/>
  </si>
  <si>
    <t>システム全体CO2排出量</t>
    <rPh sb="0" eb="12">
      <t>ゼンタイ</t>
    </rPh>
    <phoneticPr fontId="32"/>
  </si>
  <si>
    <t>システム全体エネルギーコスト</t>
    <phoneticPr fontId="32"/>
  </si>
  <si>
    <t>エネルギーコスト（原単位）</t>
    <phoneticPr fontId="32"/>
  </si>
  <si>
    <t>千円/年/kW</t>
    <rPh sb="0" eb="2">
      <t>センエン</t>
    </rPh>
    <rPh sb="3" eb="4">
      <t>ネン</t>
    </rPh>
    <phoneticPr fontId="32"/>
  </si>
  <si>
    <t>既存設備能力（冷房）</t>
    <rPh sb="0" eb="2">
      <t>キソン</t>
    </rPh>
    <rPh sb="2" eb="6">
      <t>セツビノウリョク</t>
    </rPh>
    <rPh sb="7" eb="9">
      <t>レイボウ</t>
    </rPh>
    <phoneticPr fontId="32"/>
  </si>
  <si>
    <t>設備改善のタイプ</t>
    <rPh sb="0" eb="2">
      <t>セツビ</t>
    </rPh>
    <rPh sb="2" eb="4">
      <t>カイゼン</t>
    </rPh>
    <phoneticPr fontId="32"/>
  </si>
  <si>
    <t>個別化
高効率</t>
    <rPh sb="0" eb="3">
      <t>コベツカ</t>
    </rPh>
    <rPh sb="4" eb="7">
      <t>コウコウリツ</t>
    </rPh>
    <phoneticPr fontId="32"/>
  </si>
  <si>
    <t>導入設備能力（冷房）</t>
    <rPh sb="0" eb="2">
      <t>ドウニュウ</t>
    </rPh>
    <rPh sb="2" eb="6">
      <t>セツビノウリョク</t>
    </rPh>
    <rPh sb="7" eb="9">
      <t>レイボウ</t>
    </rPh>
    <phoneticPr fontId="32"/>
  </si>
  <si>
    <t>　温暖地（γ＜＝1.0）の場合、定格冷房能力を入力。寒冷地は定格暖房能力を。</t>
    <rPh sb="1" eb="4">
      <t>オンダンチ</t>
    </rPh>
    <rPh sb="13" eb="15">
      <t>バアイ</t>
    </rPh>
    <rPh sb="16" eb="22">
      <t>テイカクレイボウノウリョク</t>
    </rPh>
    <rPh sb="23" eb="25">
      <t>ニュウリョク</t>
    </rPh>
    <rPh sb="26" eb="29">
      <t>カンレイチ</t>
    </rPh>
    <rPh sb="30" eb="32">
      <t>テイカク</t>
    </rPh>
    <rPh sb="32" eb="36">
      <t>ダンボウノウリョク</t>
    </rPh>
    <phoneticPr fontId="32"/>
  </si>
  <si>
    <t>場合</t>
  </si>
  <si>
    <t>千kWn</t>
    <rPh sb="0" eb="1">
      <t>セン</t>
    </rPh>
    <phoneticPr fontId="32"/>
  </si>
  <si>
    <t>主機電力使用量（全体）</t>
    <rPh sb="0" eb="2">
      <t>シュキ</t>
    </rPh>
    <rPh sb="2" eb="4">
      <t>デンリョク</t>
    </rPh>
    <rPh sb="4" eb="7">
      <t>シヨウリョウ</t>
    </rPh>
    <rPh sb="8" eb="10">
      <t>ゼンタイ</t>
    </rPh>
    <phoneticPr fontId="32"/>
  </si>
  <si>
    <t>補機電力使用量（全体）</t>
    <rPh sb="0" eb="2">
      <t>ホキ</t>
    </rPh>
    <rPh sb="2" eb="4">
      <t>デンリョク</t>
    </rPh>
    <rPh sb="4" eb="7">
      <t>シヨウリョウ</t>
    </rPh>
    <rPh sb="8" eb="10">
      <t>ゼンタイ</t>
    </rPh>
    <phoneticPr fontId="32"/>
  </si>
  <si>
    <t>EHP</t>
    <phoneticPr fontId="7"/>
  </si>
  <si>
    <t>水冷HPチラー、空冷HPチラー</t>
  </si>
  <si>
    <t>水冷HPチラー、空冷HPチラー</t>
    <phoneticPr fontId="7"/>
  </si>
  <si>
    <t>設備補機</t>
    <rPh sb="2" eb="4">
      <t>ホキ</t>
    </rPh>
    <phoneticPr fontId="7"/>
  </si>
  <si>
    <t>④‐４</t>
  </si>
  <si>
    <t>【既存設備】</t>
  </si>
  <si>
    <t>既存設備</t>
    <rPh sb="0" eb="2">
      <t>キゾン</t>
    </rPh>
    <rPh sb="2" eb="4">
      <t>セツビ</t>
    </rPh>
    <phoneticPr fontId="7"/>
  </si>
  <si>
    <t>導入設備</t>
    <rPh sb="0" eb="4">
      <t>ドウニュウセツビ</t>
    </rPh>
    <phoneticPr fontId="7"/>
  </si>
  <si>
    <t>冷房</t>
    <rPh sb="0" eb="2">
      <t>レイボウ</t>
    </rPh>
    <phoneticPr fontId="7"/>
  </si>
  <si>
    <t>暖房</t>
    <rPh sb="0" eb="2">
      <t>ダンボウ</t>
    </rPh>
    <phoneticPr fontId="7"/>
  </si>
  <si>
    <t>主機冷房</t>
    <rPh sb="0" eb="2">
      <t>シュキ</t>
    </rPh>
    <rPh sb="2" eb="4">
      <t>レイボウ</t>
    </rPh>
    <phoneticPr fontId="7"/>
  </si>
  <si>
    <t>主機暖房</t>
    <rPh sb="0" eb="2">
      <t>シュキ</t>
    </rPh>
    <rPh sb="2" eb="4">
      <t>ダンボウ</t>
    </rPh>
    <phoneticPr fontId="7"/>
  </si>
  <si>
    <t>補機冷房</t>
    <rPh sb="0" eb="2">
      <t>ホキ</t>
    </rPh>
    <rPh sb="2" eb="4">
      <t>レイボウ</t>
    </rPh>
    <phoneticPr fontId="7"/>
  </si>
  <si>
    <t>補機暖房</t>
    <rPh sb="0" eb="4">
      <t>ホキダンボウ</t>
    </rPh>
    <phoneticPr fontId="7"/>
  </si>
  <si>
    <t>冷房能力</t>
    <rPh sb="0" eb="2">
      <t>レイボウ</t>
    </rPh>
    <rPh sb="2" eb="4">
      <t>ノウリョク</t>
    </rPh>
    <phoneticPr fontId="7"/>
  </si>
  <si>
    <t>暖房能力</t>
    <rPh sb="0" eb="2">
      <t>ダンボウ</t>
    </rPh>
    <rPh sb="2" eb="4">
      <t>ノウリョク</t>
    </rPh>
    <phoneticPr fontId="7"/>
  </si>
  <si>
    <t>冷房消費電力</t>
    <rPh sb="0" eb="2">
      <t>レイボウ</t>
    </rPh>
    <rPh sb="2" eb="6">
      <t>ショウヒデンリョク</t>
    </rPh>
    <phoneticPr fontId="7"/>
  </si>
  <si>
    <t>暖房消費電力</t>
    <rPh sb="0" eb="2">
      <t>ダンボウ</t>
    </rPh>
    <rPh sb="2" eb="6">
      <t>ショウヒデンリョク</t>
    </rPh>
    <phoneticPr fontId="7"/>
  </si>
  <si>
    <t xml:space="preserve"> </t>
    <phoneticPr fontId="7"/>
  </si>
  <si>
    <t>④’‐４</t>
  </si>
  <si>
    <t>CO2削減量</t>
    <phoneticPr fontId="7"/>
  </si>
  <si>
    <t>A</t>
    <phoneticPr fontId="7"/>
  </si>
  <si>
    <t>B</t>
    <phoneticPr fontId="7"/>
  </si>
  <si>
    <t>→APFに数字が入ったらB、そうでないならA</t>
    <rPh sb="5" eb="7">
      <t>スウジ</t>
    </rPh>
    <rPh sb="8" eb="9">
      <t>ハイ</t>
    </rPh>
    <phoneticPr fontId="7"/>
  </si>
  <si>
    <t>※</t>
  </si>
  <si>
    <t>導入①→</t>
    <rPh sb="0" eb="2">
      <t>ドウニュウ</t>
    </rPh>
    <phoneticPr fontId="7"/>
  </si>
  <si>
    <t>設備全体（通年）</t>
    <rPh sb="5" eb="7">
      <t>ツウネン</t>
    </rPh>
    <phoneticPr fontId="7"/>
  </si>
  <si>
    <t>t-CO2/kWh</t>
    <phoneticPr fontId="32"/>
  </si>
  <si>
    <r>
      <t>t-CO</t>
    </r>
    <r>
      <rPr>
        <vertAlign val="subscript"/>
        <sz val="10"/>
        <color theme="1"/>
        <rFont val="メイリオ"/>
        <family val="3"/>
        <charset val="128"/>
      </rPr>
      <t>2</t>
    </r>
    <r>
      <rPr>
        <sz val="10"/>
        <color theme="1"/>
        <rFont val="メイリオ"/>
        <family val="3"/>
        <charset val="128"/>
      </rPr>
      <t>/kWh</t>
    </r>
    <phoneticPr fontId="32"/>
  </si>
  <si>
    <t>①</t>
    <phoneticPr fontId="7"/>
  </si>
  <si>
    <t>②</t>
    <phoneticPr fontId="7"/>
  </si>
  <si>
    <r>
      <t>現在お使いの設備の</t>
    </r>
    <r>
      <rPr>
        <u/>
        <sz val="10"/>
        <color theme="1"/>
        <rFont val="メイリオ"/>
        <family val="3"/>
        <charset val="128"/>
      </rPr>
      <t>定格</t>
    </r>
    <r>
      <rPr>
        <sz val="10"/>
        <color theme="1"/>
        <rFont val="メイリオ"/>
        <family val="3"/>
        <charset val="128"/>
      </rPr>
      <t>性能をstep2に対応する下記①～③のいずれかに入力してください。</t>
    </r>
    <rPh sb="0" eb="2">
      <t>ゲンザイ</t>
    </rPh>
    <rPh sb="3" eb="4">
      <t>ツカ</t>
    </rPh>
    <rPh sb="6" eb="8">
      <t>セツビ</t>
    </rPh>
    <rPh sb="9" eb="11">
      <t>テイカク</t>
    </rPh>
    <rPh sb="11" eb="13">
      <t>セイノウ</t>
    </rPh>
    <rPh sb="20" eb="22">
      <t>タイオウ</t>
    </rPh>
    <rPh sb="24" eb="26">
      <t>カキ</t>
    </rPh>
    <phoneticPr fontId="7"/>
  </si>
  <si>
    <t>③</t>
    <phoneticPr fontId="7"/>
  </si>
  <si>
    <t>④</t>
    <phoneticPr fontId="7"/>
  </si>
  <si>
    <t>⑤</t>
    <phoneticPr fontId="7"/>
  </si>
  <si>
    <t>設備主機（通年）</t>
    <rPh sb="0" eb="2">
      <t>セツビ</t>
    </rPh>
    <rPh sb="2" eb="4">
      <t>シュキ</t>
    </rPh>
    <rPh sb="5" eb="7">
      <t>ツウネン</t>
    </rPh>
    <phoneticPr fontId="7"/>
  </si>
  <si>
    <t>設備補機（通年）</t>
    <rPh sb="0" eb="2">
      <t>セツビ</t>
    </rPh>
    <rPh sb="2" eb="4">
      <t>ホキ</t>
    </rPh>
    <rPh sb="5" eb="7">
      <t>ツウネン</t>
    </rPh>
    <phoneticPr fontId="7"/>
  </si>
  <si>
    <t>遠心冷凍機、水冷チラー、空冷チラー</t>
    <phoneticPr fontId="7"/>
  </si>
  <si>
    <t>手入力値→</t>
    <rPh sb="0" eb="1">
      <t>テ</t>
    </rPh>
    <rPh sb="1" eb="4">
      <t>ニュウリョクチ</t>
    </rPh>
    <phoneticPr fontId="7"/>
  </si>
  <si>
    <t>GHPを選択した場合は②もしくは③へ</t>
    <phoneticPr fontId="7"/>
  </si>
  <si>
    <t>EHPを選択した場合は④へ</t>
    <rPh sb="4" eb="6">
      <t>センタク</t>
    </rPh>
    <rPh sb="8" eb="10">
      <t>バアイ</t>
    </rPh>
    <phoneticPr fontId="7"/>
  </si>
  <si>
    <t>①’</t>
    <phoneticPr fontId="32"/>
  </si>
  <si>
    <t>②</t>
    <phoneticPr fontId="32"/>
  </si>
  <si>
    <t>①＋②</t>
    <phoneticPr fontId="32"/>
  </si>
  <si>
    <t>①’＋②’</t>
    <phoneticPr fontId="32"/>
  </si>
  <si>
    <r>
      <t>CO</t>
    </r>
    <r>
      <rPr>
        <vertAlign val="subscript"/>
        <sz val="9"/>
        <color theme="1"/>
        <rFont val="メイリオ"/>
        <family val="3"/>
        <charset val="128"/>
      </rPr>
      <t>2</t>
    </r>
    <r>
      <rPr>
        <sz val="9"/>
        <color theme="1"/>
        <rFont val="メイリオ"/>
        <family val="3"/>
        <charset val="128"/>
      </rPr>
      <t>排出量</t>
    </r>
    <rPh sb="3" eb="5">
      <t>ハイシュツ</t>
    </rPh>
    <rPh sb="5" eb="6">
      <t>リョウ</t>
    </rPh>
    <phoneticPr fontId="7"/>
  </si>
  <si>
    <r>
      <t>CO</t>
    </r>
    <r>
      <rPr>
        <b/>
        <vertAlign val="subscript"/>
        <sz val="9"/>
        <color theme="1"/>
        <rFont val="メイリオ"/>
        <family val="3"/>
        <charset val="128"/>
      </rPr>
      <t>2</t>
    </r>
    <r>
      <rPr>
        <b/>
        <sz val="9"/>
        <color theme="1"/>
        <rFont val="メイリオ"/>
        <family val="3"/>
        <charset val="128"/>
      </rPr>
      <t>排出量</t>
    </r>
    <rPh sb="3" eb="5">
      <t>ハイシュツ</t>
    </rPh>
    <rPh sb="5" eb="6">
      <t>リョウ</t>
    </rPh>
    <phoneticPr fontId="7"/>
  </si>
  <si>
    <r>
      <t>CO</t>
    </r>
    <r>
      <rPr>
        <b/>
        <vertAlign val="subscript"/>
        <sz val="9"/>
        <color theme="1"/>
        <rFont val="メイリオ"/>
        <family val="3"/>
        <charset val="128"/>
      </rPr>
      <t>2</t>
    </r>
    <r>
      <rPr>
        <b/>
        <sz val="9"/>
        <color theme="1"/>
        <rFont val="メイリオ"/>
        <family val="3"/>
        <charset val="128"/>
      </rPr>
      <t>削減量</t>
    </r>
    <rPh sb="3" eb="5">
      <t>サクゲン</t>
    </rPh>
    <rPh sb="5" eb="6">
      <t>リョウ</t>
    </rPh>
    <phoneticPr fontId="7"/>
  </si>
  <si>
    <t>　①</t>
    <phoneticPr fontId="32"/>
  </si>
  <si>
    <t>　②</t>
    <phoneticPr fontId="32"/>
  </si>
  <si>
    <r>
      <t xml:space="preserve">①’＋②’* </t>
    </r>
    <r>
      <rPr>
        <b/>
        <sz val="8"/>
        <color theme="1"/>
        <rFont val="メイリオ"/>
        <family val="3"/>
        <charset val="128"/>
      </rPr>
      <t>a</t>
    </r>
    <phoneticPr fontId="32"/>
  </si>
  <si>
    <r>
      <t>(⑤＋⑥)*</t>
    </r>
    <r>
      <rPr>
        <b/>
        <sz val="8"/>
        <color theme="1"/>
        <rFont val="メイリオ"/>
        <family val="3"/>
        <charset val="128"/>
      </rPr>
      <t xml:space="preserve"> b</t>
    </r>
    <phoneticPr fontId="32"/>
  </si>
  <si>
    <t>※</t>
    <phoneticPr fontId="7"/>
  </si>
  <si>
    <t>④</t>
    <phoneticPr fontId="7"/>
  </si>
  <si>
    <t>設備主機（燃料）</t>
    <rPh sb="0" eb="2">
      <t>セツビ</t>
    </rPh>
    <rPh sb="2" eb="4">
      <t>シュキ</t>
    </rPh>
    <rPh sb="5" eb="7">
      <t>ネンリョウ</t>
    </rPh>
    <phoneticPr fontId="7"/>
  </si>
  <si>
    <t>設備補機（電力）</t>
    <rPh sb="0" eb="2">
      <t>セツビ</t>
    </rPh>
    <rPh sb="2" eb="4">
      <t>ホキ</t>
    </rPh>
    <rPh sb="5" eb="7">
      <t>デンリョク</t>
    </rPh>
    <phoneticPr fontId="7"/>
  </si>
  <si>
    <t>温水ボイラーを選択した場合は④へ</t>
    <rPh sb="0" eb="2">
      <t>オンスイ</t>
    </rPh>
    <phoneticPr fontId="7"/>
  </si>
  <si>
    <t>主機定格出力</t>
    <rPh sb="0" eb="2">
      <t>シュキ</t>
    </rPh>
    <rPh sb="2" eb="4">
      <t>テイカク</t>
    </rPh>
    <rPh sb="4" eb="6">
      <t>シュツリョク</t>
    </rPh>
    <phoneticPr fontId="7"/>
  </si>
  <si>
    <t>暖房燃料消費量</t>
  </si>
  <si>
    <t>⑥</t>
    <phoneticPr fontId="7"/>
  </si>
  <si>
    <t>④</t>
    <phoneticPr fontId="32"/>
  </si>
  <si>
    <t>温水ボイラー</t>
    <rPh sb="0" eb="2">
      <t>オンスイ</t>
    </rPh>
    <phoneticPr fontId="32"/>
  </si>
  <si>
    <t>⑥</t>
    <phoneticPr fontId="32"/>
  </si>
  <si>
    <t>既存設備</t>
    <rPh sb="0" eb="2">
      <t>キゾン</t>
    </rPh>
    <rPh sb="2" eb="4">
      <t>セツビ</t>
    </rPh>
    <phoneticPr fontId="7"/>
  </si>
  <si>
    <t>導入設備</t>
    <rPh sb="0" eb="2">
      <t>ドウニュウ</t>
    </rPh>
    <rPh sb="2" eb="4">
      <t>セツビ</t>
    </rPh>
    <phoneticPr fontId="7"/>
  </si>
  <si>
    <t xml:space="preserve"> </t>
    <phoneticPr fontId="7"/>
  </si>
  <si>
    <t>◆導入燃料使用量算定</t>
    <rPh sb="1" eb="3">
      <t>ドウニュウ</t>
    </rPh>
    <phoneticPr fontId="32"/>
  </si>
  <si>
    <t>APF</t>
    <phoneticPr fontId="32"/>
  </si>
  <si>
    <t>定格冷房/冷却成績係数(COP)</t>
    <rPh sb="0" eb="2">
      <t>テイカク</t>
    </rPh>
    <rPh sb="2" eb="4">
      <t>レイボウ</t>
    </rPh>
    <rPh sb="5" eb="7">
      <t>レイキャク</t>
    </rPh>
    <rPh sb="7" eb="9">
      <t>セイセキ</t>
    </rPh>
    <rPh sb="9" eb="11">
      <t>ケイスウ</t>
    </rPh>
    <phoneticPr fontId="7"/>
  </si>
  <si>
    <t>定格暖房/加熱成績係数(COP)</t>
    <rPh sb="5" eb="7">
      <t>カネツ</t>
    </rPh>
    <rPh sb="7" eb="9">
      <t>セイセキ</t>
    </rPh>
    <rPh sb="9" eb="11">
      <t>ケイスウ</t>
    </rPh>
    <phoneticPr fontId="7"/>
  </si>
  <si>
    <t>ー</t>
    <phoneticPr fontId="7"/>
  </si>
  <si>
    <t>通年エネルギー消費効率(APF)</t>
    <rPh sb="0" eb="2">
      <t>ツウネン</t>
    </rPh>
    <rPh sb="7" eb="9">
      <t>ショウヒ</t>
    </rPh>
    <rPh sb="9" eb="11">
      <t>コウリツ</t>
    </rPh>
    <phoneticPr fontId="7"/>
  </si>
  <si>
    <t>主機電力使用量(冷房)</t>
    <rPh sb="0" eb="2">
      <t>シュキ</t>
    </rPh>
    <rPh sb="2" eb="4">
      <t>デンリョク</t>
    </rPh>
    <rPh sb="4" eb="7">
      <t>シヨウリョウ</t>
    </rPh>
    <rPh sb="8" eb="10">
      <t>レイボウ</t>
    </rPh>
    <phoneticPr fontId="7"/>
  </si>
  <si>
    <t>主機電力使用量(暖房)</t>
    <rPh sb="0" eb="2">
      <t>シュキ</t>
    </rPh>
    <rPh sb="2" eb="4">
      <t>デンリョク</t>
    </rPh>
    <rPh sb="4" eb="7">
      <t>シヨウリョウ</t>
    </rPh>
    <rPh sb="8" eb="10">
      <t>ダンボウ</t>
    </rPh>
    <phoneticPr fontId="7"/>
  </si>
  <si>
    <t>補機電力使用量(冷房)</t>
    <rPh sb="0" eb="2">
      <t>ホキ</t>
    </rPh>
    <rPh sb="2" eb="4">
      <t>デンリョク</t>
    </rPh>
    <rPh sb="4" eb="7">
      <t>シヨウリョウ</t>
    </rPh>
    <rPh sb="8" eb="10">
      <t>レイボウ</t>
    </rPh>
    <phoneticPr fontId="7"/>
  </si>
  <si>
    <t>補機電力使用量(暖房)</t>
    <rPh sb="0" eb="2">
      <t>ホキ</t>
    </rPh>
    <rPh sb="2" eb="4">
      <t>デンリョク</t>
    </rPh>
    <rPh sb="4" eb="7">
      <t>シヨウリョウ</t>
    </rPh>
    <rPh sb="8" eb="10">
      <t>ダンボウ</t>
    </rPh>
    <phoneticPr fontId="7"/>
  </si>
  <si>
    <t>その設備の燃料は何ですか？5種類の中からお選びください。</t>
    <rPh sb="2" eb="4">
      <t>セツビ</t>
    </rPh>
    <rPh sb="5" eb="7">
      <t>ネンリョウ</t>
    </rPh>
    <rPh sb="8" eb="9">
      <t>ナン</t>
    </rPh>
    <rPh sb="14" eb="16">
      <t>シュルイ</t>
    </rPh>
    <rPh sb="17" eb="18">
      <t>ナカ</t>
    </rPh>
    <rPh sb="21" eb="22">
      <t>エラ</t>
    </rPh>
    <phoneticPr fontId="7"/>
  </si>
  <si>
    <t>灯油</t>
    <rPh sb="0" eb="2">
      <t>トウユ</t>
    </rPh>
    <phoneticPr fontId="32"/>
  </si>
  <si>
    <t>表1．燃料の高位発熱量</t>
    <rPh sb="0" eb="1">
      <t>ヒョウ</t>
    </rPh>
    <rPh sb="3" eb="5">
      <t>ネンリョウ</t>
    </rPh>
    <rPh sb="6" eb="8">
      <t>コウイ</t>
    </rPh>
    <rPh sb="8" eb="11">
      <t>ハツネツリョウ</t>
    </rPh>
    <phoneticPr fontId="32"/>
  </si>
  <si>
    <t>計量結果の入力</t>
    <rPh sb="0" eb="4">
      <t>ケイリョウケッカ</t>
    </rPh>
    <rPh sb="5" eb="7">
      <t>ニュウリョク</t>
    </rPh>
    <phoneticPr fontId="32"/>
  </si>
  <si>
    <t>表２．燃料単価</t>
    <rPh sb="0" eb="1">
      <t>ヒョウ</t>
    </rPh>
    <rPh sb="3" eb="7">
      <t>ネンリョウタンカ</t>
    </rPh>
    <phoneticPr fontId="32"/>
  </si>
  <si>
    <t>以下の非表示行は、年間活動量（測定値）を合理的に推測するための準備作業であり、</t>
    <rPh sb="0" eb="2">
      <t>イカ</t>
    </rPh>
    <rPh sb="3" eb="7">
      <t>ヒヒョウジギョウ</t>
    </rPh>
    <rPh sb="9" eb="11">
      <t>ネンカン</t>
    </rPh>
    <rPh sb="11" eb="14">
      <t>カツドウリョウ</t>
    </rPh>
    <rPh sb="15" eb="18">
      <t>ソクテイチ</t>
    </rPh>
    <rPh sb="20" eb="22">
      <t>ゴウリ</t>
    </rPh>
    <rPh sb="22" eb="23">
      <t>テキ</t>
    </rPh>
    <rPh sb="24" eb="26">
      <t>スイソク</t>
    </rPh>
    <rPh sb="31" eb="33">
      <t>ジュンビ</t>
    </rPh>
    <rPh sb="33" eb="35">
      <t>サギョウ</t>
    </rPh>
    <phoneticPr fontId="32"/>
  </si>
  <si>
    <t>本計算シートの目的とは直接関係しない。</t>
    <rPh sb="0" eb="1">
      <t>ホン</t>
    </rPh>
    <rPh sb="1" eb="3">
      <t>ケイサン</t>
    </rPh>
    <rPh sb="7" eb="9">
      <t>モクテキ</t>
    </rPh>
    <rPh sb="11" eb="15">
      <t>チョクセツカンケイ</t>
    </rPh>
    <phoneticPr fontId="32"/>
  </si>
  <si>
    <t>たとえリンク先に指定されていてもプログラム上は、利用者の直接入力項目である。</t>
    <rPh sb="6" eb="7">
      <t>サキ</t>
    </rPh>
    <rPh sb="8" eb="10">
      <t>シテイ</t>
    </rPh>
    <rPh sb="21" eb="22">
      <t>ジョウ</t>
    </rPh>
    <rPh sb="24" eb="27">
      <t>リヨウシャ</t>
    </rPh>
    <rPh sb="28" eb="32">
      <t>チョクセツニュウリョク</t>
    </rPh>
    <rPh sb="32" eb="34">
      <t>コウモク</t>
    </rPh>
    <phoneticPr fontId="32"/>
  </si>
  <si>
    <t>ここは、私の覚えとして行うものである。</t>
    <rPh sb="4" eb="5">
      <t>ワタシ</t>
    </rPh>
    <rPh sb="6" eb="7">
      <t>オボ</t>
    </rPh>
    <rPh sb="11" eb="12">
      <t>オコナ</t>
    </rPh>
    <phoneticPr fontId="32"/>
  </si>
  <si>
    <t>セントラル方式の運転期間の短さとバランスをとるため</t>
    <rPh sb="5" eb="7">
      <t>ホウシキ</t>
    </rPh>
    <rPh sb="8" eb="12">
      <t>ウンテンキカン</t>
    </rPh>
    <rPh sb="13" eb="14">
      <t>ミジカ</t>
    </rPh>
    <phoneticPr fontId="32"/>
  </si>
  <si>
    <t>期間消費燃料</t>
    <rPh sb="0" eb="2">
      <t>キカン</t>
    </rPh>
    <rPh sb="2" eb="4">
      <t>ショウヒ</t>
    </rPh>
    <rPh sb="4" eb="6">
      <t>ネンリョウ</t>
    </rPh>
    <phoneticPr fontId="32"/>
  </si>
  <si>
    <t>期間燃料使用量</t>
    <rPh sb="0" eb="2">
      <t>キカン</t>
    </rPh>
    <rPh sb="2" eb="4">
      <t>ネンリョウ</t>
    </rPh>
    <rPh sb="4" eb="7">
      <t>シヨウリョウ</t>
    </rPh>
    <phoneticPr fontId="32"/>
  </si>
  <si>
    <t>千m3/年</t>
    <phoneticPr fontId="32"/>
  </si>
  <si>
    <t>負荷率補正値</t>
    <rPh sb="0" eb="3">
      <t>フカリツ</t>
    </rPh>
    <rPh sb="3" eb="5">
      <t>ホセイ</t>
    </rPh>
    <rPh sb="5" eb="6">
      <t>チ</t>
    </rPh>
    <phoneticPr fontId="32"/>
  </si>
  <si>
    <t>GHPの補機電力は0.6乗ではない。負荷率比例である。</t>
    <rPh sb="4" eb="8">
      <t>ホキデンリョク</t>
    </rPh>
    <rPh sb="12" eb="13">
      <t>ジョウ</t>
    </rPh>
    <rPh sb="18" eb="21">
      <t>フカリツ</t>
    </rPh>
    <rPh sb="21" eb="23">
      <t>ヒレイ</t>
    </rPh>
    <phoneticPr fontId="32"/>
  </si>
  <si>
    <t>期間消費電力量</t>
    <rPh sb="0" eb="6">
      <t>キカンショウヒデンリョク</t>
    </rPh>
    <rPh sb="6" eb="7">
      <t>リョウ</t>
    </rPh>
    <phoneticPr fontId="32"/>
  </si>
  <si>
    <t>（5～9月）</t>
    <rPh sb="4" eb="5">
      <t>ガツ</t>
    </rPh>
    <phoneticPr fontId="32"/>
  </si>
  <si>
    <t>kL/年</t>
    <phoneticPr fontId="32"/>
  </si>
  <si>
    <t>千kWh</t>
    <rPh sb="0" eb="1">
      <t>セン</t>
    </rPh>
    <phoneticPr fontId="32"/>
  </si>
  <si>
    <t>（12～3月）</t>
    <rPh sb="5" eb="6">
      <t>ガツ</t>
    </rPh>
    <phoneticPr fontId="32"/>
  </si>
  <si>
    <t>温水ボイラ（暖房のみ）</t>
    <rPh sb="0" eb="2">
      <t>オンスイ</t>
    </rPh>
    <rPh sb="6" eb="8">
      <t>ダンボウ</t>
    </rPh>
    <phoneticPr fontId="32"/>
  </si>
  <si>
    <t>送風機モータ定格出力</t>
    <rPh sb="0" eb="3">
      <t>ソウフウキ</t>
    </rPh>
    <rPh sb="6" eb="10">
      <t>テイカクシュツリョク</t>
    </rPh>
    <phoneticPr fontId="32"/>
  </si>
  <si>
    <t>表３．燃料使用量の計測値</t>
    <rPh sb="0" eb="1">
      <t>ヒョウ</t>
    </rPh>
    <rPh sb="3" eb="5">
      <t>ネンリョウ</t>
    </rPh>
    <rPh sb="5" eb="8">
      <t>シヨウリョウ</t>
    </rPh>
    <rPh sb="9" eb="12">
      <t>ケイソクチ</t>
    </rPh>
    <phoneticPr fontId="32"/>
  </si>
  <si>
    <t>項目</t>
    <rPh sb="0" eb="2">
      <t>コウモク</t>
    </rPh>
    <phoneticPr fontId="32"/>
  </si>
  <si>
    <t>②吸収式
冷凍機</t>
    <rPh sb="1" eb="3">
      <t>キュウシュウ</t>
    </rPh>
    <rPh sb="3" eb="4">
      <t>シキ</t>
    </rPh>
    <rPh sb="5" eb="8">
      <t>レイトウキ</t>
    </rPh>
    <phoneticPr fontId="32"/>
  </si>
  <si>
    <t>③温水
ボイラ</t>
    <rPh sb="1" eb="3">
      <t>オンスイ</t>
    </rPh>
    <phoneticPr fontId="32"/>
  </si>
  <si>
    <t>表４．燃料使用量の一次エネルギー変換</t>
    <rPh sb="0" eb="1">
      <t>ヒョウ</t>
    </rPh>
    <rPh sb="3" eb="8">
      <t>ネンリョウシヨウリョウ</t>
    </rPh>
    <rPh sb="9" eb="11">
      <t>イチジ</t>
    </rPh>
    <rPh sb="16" eb="18">
      <t>ヘンカン</t>
    </rPh>
    <phoneticPr fontId="32"/>
  </si>
  <si>
    <t>既存設備の仕様入力</t>
    <rPh sb="0" eb="4">
      <t>キゾンセツビ</t>
    </rPh>
    <rPh sb="5" eb="7">
      <t>シヨウ</t>
    </rPh>
    <rPh sb="7" eb="9">
      <t>ニュウリョク</t>
    </rPh>
    <phoneticPr fontId="32"/>
  </si>
  <si>
    <t>表５．既存設備の仕様</t>
    <rPh sb="0" eb="1">
      <t>ヒョウ</t>
    </rPh>
    <rPh sb="3" eb="7">
      <t>キソンセツビ</t>
    </rPh>
    <rPh sb="8" eb="10">
      <t>シヨウ</t>
    </rPh>
    <phoneticPr fontId="32"/>
  </si>
  <si>
    <t>①
GHP</t>
    <phoneticPr fontId="32"/>
  </si>
  <si>
    <t>①’
GHP</t>
    <phoneticPr fontId="32"/>
  </si>
  <si>
    <t>L/h　*1</t>
    <phoneticPr fontId="32"/>
  </si>
  <si>
    <t>単位 kW入力は不可（液体燃料の場合）</t>
    <rPh sb="0" eb="2">
      <t>タンイ</t>
    </rPh>
    <rPh sb="5" eb="7">
      <t>ニュウリョク</t>
    </rPh>
    <rPh sb="8" eb="10">
      <t>フカ</t>
    </rPh>
    <rPh sb="11" eb="15">
      <t>エキタイネンリョウ</t>
    </rPh>
    <rPh sb="16" eb="18">
      <t>バアイ</t>
    </rPh>
    <phoneticPr fontId="32"/>
  </si>
  <si>
    <t>ただし、kW表示の値が高位発熱量基準か低位発熱量基準によるものかが</t>
    <rPh sb="6" eb="8">
      <t>ヒョウジ</t>
    </rPh>
    <rPh sb="9" eb="10">
      <t>アタイ</t>
    </rPh>
    <rPh sb="11" eb="13">
      <t>コウイ</t>
    </rPh>
    <rPh sb="13" eb="16">
      <t>ハツネツリョウ</t>
    </rPh>
    <rPh sb="16" eb="18">
      <t>キジュン</t>
    </rPh>
    <rPh sb="19" eb="24">
      <t>テイイハツネツリョウ</t>
    </rPh>
    <rPh sb="24" eb="26">
      <t>キジュン</t>
    </rPh>
    <phoneticPr fontId="32"/>
  </si>
  <si>
    <t>明確に記載されている場合はこの限りでない。</t>
    <rPh sb="0" eb="2">
      <t>メイカク</t>
    </rPh>
    <rPh sb="3" eb="5">
      <t>キサイ</t>
    </rPh>
    <rPh sb="10" eb="12">
      <t>バアイ</t>
    </rPh>
    <rPh sb="15" eb="16">
      <t>カギ</t>
    </rPh>
    <phoneticPr fontId="32"/>
  </si>
  <si>
    <t>導入予定設備の仕様入力</t>
    <rPh sb="0" eb="2">
      <t>ドウニュウ</t>
    </rPh>
    <rPh sb="2" eb="4">
      <t>ヨテイ</t>
    </rPh>
    <rPh sb="4" eb="6">
      <t>セツビ</t>
    </rPh>
    <rPh sb="7" eb="9">
      <t>シヨウ</t>
    </rPh>
    <rPh sb="9" eb="11">
      <t>ニュウリョク</t>
    </rPh>
    <phoneticPr fontId="32"/>
  </si>
  <si>
    <t>表６．導入予定設備の仕様</t>
    <rPh sb="0" eb="1">
      <t>ヒョウ</t>
    </rPh>
    <rPh sb="3" eb="5">
      <t>ドウニュウ</t>
    </rPh>
    <rPh sb="5" eb="7">
      <t>ヨテイ</t>
    </rPh>
    <rPh sb="7" eb="9">
      <t>セツビ</t>
    </rPh>
    <rPh sb="10" eb="12">
      <t>シヨウ</t>
    </rPh>
    <phoneticPr fontId="32"/>
  </si>
  <si>
    <t>導入予定設備名</t>
    <rPh sb="0" eb="4">
      <t>ドウニュウヨテイ</t>
    </rPh>
    <rPh sb="4" eb="6">
      <t>セツビ</t>
    </rPh>
    <rPh sb="6" eb="7">
      <t>メイ</t>
    </rPh>
    <phoneticPr fontId="32"/>
  </si>
  <si>
    <t>①
GHP</t>
  </si>
  <si>
    <t>①’
GHP</t>
  </si>
  <si>
    <t>④
EHP</t>
    <phoneticPr fontId="32"/>
  </si>
  <si>
    <t>④’
EHP</t>
    <phoneticPr fontId="32"/>
  </si>
  <si>
    <t>⑤空冷
HPチラー</t>
    <rPh sb="1" eb="3">
      <t>クウレイ</t>
    </rPh>
    <phoneticPr fontId="32"/>
  </si>
  <si>
    <t>⑥水冷
HPチラー</t>
    <rPh sb="1" eb="3">
      <t>スイレイ</t>
    </rPh>
    <phoneticPr fontId="32"/>
  </si>
  <si>
    <t>⑦遠心
冷凍機</t>
    <rPh sb="1" eb="3">
      <t>エンシン</t>
    </rPh>
    <rPh sb="4" eb="7">
      <t>レイトウキ</t>
    </rPh>
    <phoneticPr fontId="32"/>
  </si>
  <si>
    <t>13Aガス</t>
  </si>
  <si>
    <t>Φwo2</t>
  </si>
  <si>
    <t>のある場合</t>
    <rPh sb="3" eb="5">
      <t>バアイ</t>
    </rPh>
    <phoneticPr fontId="32"/>
  </si>
  <si>
    <t>kg/h</t>
    <phoneticPr fontId="32"/>
  </si>
  <si>
    <t>Paxc</t>
  </si>
  <si>
    <t>Paxw</t>
  </si>
  <si>
    <t>Pf1　  *1</t>
    <phoneticPr fontId="32"/>
  </si>
  <si>
    <t>APF</t>
  </si>
  <si>
    <t>　　　*2</t>
  </si>
  <si>
    <t>　　　*3</t>
    <phoneticPr fontId="32"/>
  </si>
  <si>
    <t>：冷・暖房時稼働</t>
    <rPh sb="1" eb="2">
      <t>レイ</t>
    </rPh>
    <rPh sb="3" eb="5">
      <t>ダンボウ</t>
    </rPh>
    <rPh sb="5" eb="6">
      <t>ジ</t>
    </rPh>
    <rPh sb="6" eb="8">
      <t>カドウ</t>
    </rPh>
    <phoneticPr fontId="32"/>
  </si>
  <si>
    <t>算定結果の出力</t>
    <rPh sb="0" eb="4">
      <t>サンテイケッカ</t>
    </rPh>
    <rPh sb="5" eb="7">
      <t>シュツリョク</t>
    </rPh>
    <phoneticPr fontId="32"/>
  </si>
  <si>
    <t>表7．CO2排出係数</t>
    <rPh sb="0" eb="1">
      <t>ヒョウ</t>
    </rPh>
    <rPh sb="6" eb="8">
      <t>ハイシュツ</t>
    </rPh>
    <rPh sb="8" eb="10">
      <t>ケイスウ</t>
    </rPh>
    <phoneticPr fontId="32"/>
  </si>
  <si>
    <t>①’GHP</t>
    <phoneticPr fontId="32"/>
  </si>
  <si>
    <t>②吸収式
冷凍機</t>
    <phoneticPr fontId="32"/>
  </si>
  <si>
    <t>同上　計量単位</t>
    <rPh sb="0" eb="2">
      <t>ドウジョウ</t>
    </rPh>
    <rPh sb="3" eb="7">
      <t>ケイリョウタンイ</t>
    </rPh>
    <phoneticPr fontId="32"/>
  </si>
  <si>
    <t>**/年</t>
    <rPh sb="3" eb="4">
      <t>ネン</t>
    </rPh>
    <phoneticPr fontId="32"/>
  </si>
  <si>
    <t>補機電力使用量（年間）</t>
    <rPh sb="0" eb="2">
      <t>ホキ</t>
    </rPh>
    <rPh sb="2" eb="4">
      <t>デンリョク</t>
    </rPh>
    <rPh sb="4" eb="7">
      <t>シヨウリョウ</t>
    </rPh>
    <rPh sb="8" eb="10">
      <t>ネンカン</t>
    </rPh>
    <phoneticPr fontId="32"/>
  </si>
  <si>
    <t>CO3排出量（全体）</t>
    <rPh sb="3" eb="6">
      <t>ハイシュツリョウ</t>
    </rPh>
    <rPh sb="7" eb="9">
      <t>ゼンタイ</t>
    </rPh>
    <phoneticPr fontId="32"/>
  </si>
  <si>
    <t>原単位</t>
    <rPh sb="0" eb="3">
      <t>ゲンタンイ</t>
    </rPh>
    <phoneticPr fontId="32"/>
  </si>
  <si>
    <t>t-CO2/年/kW</t>
    <rPh sb="6" eb="7">
      <t>ネン</t>
    </rPh>
    <phoneticPr fontId="32"/>
  </si>
  <si>
    <t>①’GHP
APF入力</t>
    <rPh sb="9" eb="11">
      <t>ニュウリョク</t>
    </rPh>
    <phoneticPr fontId="32"/>
  </si>
  <si>
    <t>④EHP</t>
    <phoneticPr fontId="32"/>
  </si>
  <si>
    <t>④’EHP
APF入力</t>
    <rPh sb="9" eb="11">
      <t>ニュウリョク</t>
    </rPh>
    <phoneticPr fontId="32"/>
  </si>
  <si>
    <t>⑤空冷HP
チラー</t>
    <rPh sb="1" eb="3">
      <t>クウレイ</t>
    </rPh>
    <phoneticPr fontId="32"/>
  </si>
  <si>
    <t>⑥水冷HP
チラー</t>
    <rPh sb="1" eb="3">
      <t>スイレイ</t>
    </rPh>
    <phoneticPr fontId="32"/>
  </si>
  <si>
    <r>
      <t>t-CO</t>
    </r>
    <r>
      <rPr>
        <vertAlign val="subscript"/>
        <sz val="9"/>
        <color theme="1"/>
        <rFont val="Yu Gothic"/>
        <family val="3"/>
        <charset val="128"/>
        <scheme val="minor"/>
      </rPr>
      <t>2</t>
    </r>
    <r>
      <rPr>
        <sz val="9"/>
        <color theme="1"/>
        <rFont val="Yu Gothic"/>
        <family val="3"/>
        <charset val="128"/>
        <scheme val="minor"/>
      </rPr>
      <t>/年/kW</t>
    </r>
    <rPh sb="6" eb="7">
      <t>ネン</t>
    </rPh>
    <phoneticPr fontId="32"/>
  </si>
  <si>
    <t>―</t>
    <phoneticPr fontId="32"/>
  </si>
  <si>
    <t xml:space="preserve"> </t>
    <phoneticPr fontId="32"/>
  </si>
  <si>
    <r>
      <t>水冷HPチラーの冷房COPのみ計算式が他と違うので</t>
    </r>
    <r>
      <rPr>
        <b/>
        <sz val="9"/>
        <color rgb="FFFF0000"/>
        <rFont val="メイリオ"/>
        <family val="3"/>
        <charset val="128"/>
      </rPr>
      <t>J67</t>
    </r>
    <r>
      <rPr>
        <sz val="9"/>
        <color rgb="FFFF0000"/>
        <rFont val="メイリオ"/>
        <family val="3"/>
        <charset val="128"/>
      </rPr>
      <t>と</t>
    </r>
    <r>
      <rPr>
        <b/>
        <sz val="9"/>
        <color rgb="FFFF0000"/>
        <rFont val="メイリオ"/>
        <family val="3"/>
        <charset val="128"/>
      </rPr>
      <t>L67</t>
    </r>
    <r>
      <rPr>
        <sz val="9"/>
        <color rgb="FFFF0000"/>
        <rFont val="メイリオ"/>
        <family val="3"/>
        <charset val="128"/>
      </rPr>
      <t>で数値入替え</t>
    </r>
    <rPh sb="0" eb="2">
      <t>スイレイ</t>
    </rPh>
    <rPh sb="8" eb="10">
      <t>レイボウ</t>
    </rPh>
    <rPh sb="15" eb="18">
      <t>ケイサンシキ</t>
    </rPh>
    <rPh sb="19" eb="20">
      <t>ホカ</t>
    </rPh>
    <rPh sb="21" eb="22">
      <t>チガ</t>
    </rPh>
    <rPh sb="33" eb="35">
      <t>スウチ</t>
    </rPh>
    <rPh sb="35" eb="37">
      <t>イレカエ</t>
    </rPh>
    <phoneticPr fontId="32"/>
  </si>
  <si>
    <t>定格冷房ガス消費量</t>
    <rPh sb="2" eb="4">
      <t>レイボウ</t>
    </rPh>
    <rPh sb="6" eb="9">
      <t>ショウヒリョウ</t>
    </rPh>
    <phoneticPr fontId="7"/>
  </si>
  <si>
    <t>定格暖房ガス消費量</t>
    <rPh sb="2" eb="4">
      <t>ダンボウ</t>
    </rPh>
    <rPh sb="6" eb="9">
      <t>ショウヒリョウ</t>
    </rPh>
    <phoneticPr fontId="7"/>
  </si>
  <si>
    <t>定格冷房能力</t>
    <rPh sb="2" eb="4">
      <t>レイボウ</t>
    </rPh>
    <rPh sb="4" eb="6">
      <t>ノウリョク</t>
    </rPh>
    <phoneticPr fontId="7"/>
  </si>
  <si>
    <t>定格暖房能力</t>
    <rPh sb="2" eb="4">
      <t>ダンボウ</t>
    </rPh>
    <rPh sb="4" eb="6">
      <t>ノウリョク</t>
    </rPh>
    <phoneticPr fontId="7"/>
  </si>
  <si>
    <t>定格冷房消費電力</t>
    <rPh sb="2" eb="4">
      <t>レイボウ</t>
    </rPh>
    <rPh sb="4" eb="6">
      <t>ショウヒ</t>
    </rPh>
    <rPh sb="6" eb="8">
      <t>デンリョク</t>
    </rPh>
    <phoneticPr fontId="7"/>
  </si>
  <si>
    <t>定格暖房消費電力</t>
    <rPh sb="2" eb="4">
      <t>ダンボウ</t>
    </rPh>
    <rPh sb="4" eb="6">
      <t>ショウヒ</t>
    </rPh>
    <rPh sb="6" eb="8">
      <t>デンリョク</t>
    </rPh>
    <phoneticPr fontId="7"/>
  </si>
  <si>
    <t>暖房定格燃料消費量</t>
    <phoneticPr fontId="7"/>
  </si>
  <si>
    <t>吸収/GHP/温水</t>
    <rPh sb="0" eb="2">
      <t>キュウシュウ</t>
    </rPh>
    <rPh sb="7" eb="9">
      <t>オンスイ</t>
    </rPh>
    <phoneticPr fontId="32"/>
  </si>
  <si>
    <t>kW</t>
    <phoneticPr fontId="32"/>
  </si>
  <si>
    <t>GJ/年</t>
    <rPh sb="3" eb="4">
      <t>ネン</t>
    </rPh>
    <phoneticPr fontId="32"/>
  </si>
  <si>
    <t>kWh/年</t>
  </si>
  <si>
    <t>温水</t>
    <rPh sb="0" eb="2">
      <t>オンスイ</t>
    </rPh>
    <phoneticPr fontId="32"/>
  </si>
  <si>
    <t>吸収/温水</t>
    <rPh sb="0" eb="2">
      <t>キュウシュウ</t>
    </rPh>
    <rPh sb="3" eb="5">
      <t>オンスイ</t>
    </rPh>
    <phoneticPr fontId="32"/>
  </si>
  <si>
    <t>Step1～6の操作により導入設備の燃料使用量等が自動的に計算・表示されます。
なお、入力場所が違うなど条件を満たさない場合は算定ができませんのでご注意ください。</t>
    <rPh sb="23" eb="24">
      <t>トウ</t>
    </rPh>
    <rPh sb="43" eb="47">
      <t>ニュウリョクバショ</t>
    </rPh>
    <rPh sb="48" eb="49">
      <t>チガ</t>
    </rPh>
    <rPh sb="52" eb="54">
      <t>ジョウケン</t>
    </rPh>
    <rPh sb="55" eb="56">
      <t>ミ</t>
    </rPh>
    <rPh sb="60" eb="62">
      <t>バアイ</t>
    </rPh>
    <rPh sb="63" eb="65">
      <t>サンテイ</t>
    </rPh>
    <rPh sb="74" eb="76">
      <t>チュウイ</t>
    </rPh>
    <phoneticPr fontId="7"/>
  </si>
  <si>
    <t>Step1～6の操作により導入設備の燃料使用量等が自動的に計算・表示されます。
なお、入力場所が違うなど条件を満たさない場合は算定ができませんのでご注意ください。</t>
    <rPh sb="23" eb="24">
      <t>トウ</t>
    </rPh>
    <phoneticPr fontId="7"/>
  </si>
  <si>
    <t xml:space="preserve">←既存CO2排出係数 </t>
    <rPh sb="1" eb="3">
      <t>キゾン</t>
    </rPh>
    <rPh sb="6" eb="8">
      <t>ハイシュツ</t>
    </rPh>
    <rPh sb="8" eb="10">
      <t>ケイスウ</t>
    </rPh>
    <phoneticPr fontId="32"/>
  </si>
  <si>
    <t>(kL/年, t/年, 千Nm3/年)</t>
  </si>
  <si>
    <t>(kL/年, t/年, 千Nm3/年)</t>
    <rPh sb="4" eb="5">
      <t>ネン</t>
    </rPh>
    <rPh sb="9" eb="10">
      <t>ネン</t>
    </rPh>
    <rPh sb="12" eb="13">
      <t>セン</t>
    </rPh>
    <phoneticPr fontId="7"/>
  </si>
  <si>
    <t>(kW,L/h)</t>
    <phoneticPr fontId="7"/>
  </si>
  <si>
    <t>(L/h, kg/h, Nm3/h)</t>
    <phoneticPr fontId="7"/>
  </si>
  <si>
    <t>(kL/年, t/年, 千Nm3/年)</t>
    <phoneticPr fontId="7"/>
  </si>
  <si>
    <t>吸収式冷凍機</t>
  </si>
  <si>
    <t>a既存</t>
    <rPh sb="1" eb="3">
      <t>キゾン</t>
    </rPh>
    <phoneticPr fontId="7"/>
  </si>
  <si>
    <t>b既存</t>
    <rPh sb="1" eb="3">
      <t>キゾン</t>
    </rPh>
    <phoneticPr fontId="7"/>
  </si>
  <si>
    <t>それ以外</t>
    <rPh sb="2" eb="4">
      <t>イガイ</t>
    </rPh>
    <phoneticPr fontId="32"/>
  </si>
  <si>
    <t>導入設備</t>
    <rPh sb="0" eb="2">
      <t>ドウニュウ</t>
    </rPh>
    <rPh sb="2" eb="4">
      <t>セツビ</t>
    </rPh>
    <phoneticPr fontId="32"/>
  </si>
  <si>
    <t>電力のCO2排出係数</t>
    <phoneticPr fontId="7"/>
  </si>
  <si>
    <t>(t/年, 千Nm3/年)</t>
    <rPh sb="3" eb="4">
      <t>ネン</t>
    </rPh>
    <rPh sb="6" eb="7">
      <t>セン</t>
    </rPh>
    <phoneticPr fontId="7"/>
  </si>
  <si>
    <t>(t/年, 千Nm3/年)</t>
    <phoneticPr fontId="7"/>
  </si>
  <si>
    <t>定格冷房能力</t>
    <rPh sb="0" eb="1">
      <t>サダム</t>
    </rPh>
    <rPh sb="1" eb="2">
      <t>カク</t>
    </rPh>
    <rPh sb="2" eb="4">
      <t>レイボウ</t>
    </rPh>
    <rPh sb="4" eb="6">
      <t>ノウリョク</t>
    </rPh>
    <phoneticPr fontId="7"/>
  </si>
  <si>
    <t>定格冷房燃料消費量（高位基準）</t>
    <rPh sb="2" eb="4">
      <t>レイボウ</t>
    </rPh>
    <rPh sb="4" eb="6">
      <t>ネンリョウ</t>
    </rPh>
    <rPh sb="6" eb="9">
      <t>ショウヒリョウ</t>
    </rPh>
    <phoneticPr fontId="7"/>
  </si>
  <si>
    <t>定格暖房燃料消費量（高位基準）</t>
    <rPh sb="2" eb="4">
      <t>ダンボウ</t>
    </rPh>
    <rPh sb="4" eb="6">
      <t>ネンリョウ</t>
    </rPh>
    <rPh sb="6" eb="9">
      <t>ショウヒリョウ</t>
    </rPh>
    <phoneticPr fontId="7"/>
  </si>
  <si>
    <t>定格冷房ガス消費量（高位基準）</t>
    <rPh sb="2" eb="4">
      <t>レイボウ</t>
    </rPh>
    <rPh sb="6" eb="9">
      <t>ショウヒリョウ</t>
    </rPh>
    <phoneticPr fontId="7"/>
  </si>
  <si>
    <t>定格暖房ガス消費量（高位基準）</t>
    <rPh sb="2" eb="4">
      <t>ダンボウ</t>
    </rPh>
    <rPh sb="6" eb="9">
      <t>ショウヒリョウ</t>
    </rPh>
    <phoneticPr fontId="7"/>
  </si>
  <si>
    <t>(kW, L/h)</t>
    <phoneticPr fontId="7"/>
  </si>
  <si>
    <t>燃料がA重油、灯油の場合はkL/年、LPGはt/年、</t>
    <rPh sb="0" eb="2">
      <t>ネンリョウ</t>
    </rPh>
    <rPh sb="4" eb="6">
      <t>ジュウユ</t>
    </rPh>
    <rPh sb="7" eb="9">
      <t>トウユ</t>
    </rPh>
    <rPh sb="10" eb="12">
      <t>バアイ</t>
    </rPh>
    <rPh sb="16" eb="17">
      <t>ネン</t>
    </rPh>
    <rPh sb="24" eb="25">
      <t>ネン</t>
    </rPh>
    <phoneticPr fontId="7"/>
  </si>
  <si>
    <t>都市ガス13Aは千Nm3/年で入力</t>
    <rPh sb="15" eb="17">
      <t>ニュウリョク</t>
    </rPh>
    <phoneticPr fontId="7"/>
  </si>
  <si>
    <t>←Nm3入力に変更したため1.0へ</t>
    <rPh sb="4" eb="6">
      <t>ニュウリョク</t>
    </rPh>
    <rPh sb="7" eb="9">
      <t>ヘンコウ</t>
    </rPh>
    <phoneticPr fontId="32"/>
  </si>
  <si>
    <t>Nm3変換の場合0.97</t>
    <rPh sb="3" eb="5">
      <t>ヘンカン</t>
    </rPh>
    <rPh sb="6" eb="8">
      <t>バアイ</t>
    </rPh>
    <phoneticPr fontId="32"/>
  </si>
  <si>
    <t>LPG質量換算の場合0.402</t>
    <rPh sb="3" eb="7">
      <t>シツリョウカンサン</t>
    </rPh>
    <rPh sb="8" eb="10">
      <t>バアイ</t>
    </rPh>
    <phoneticPr fontId="32"/>
  </si>
  <si>
    <r>
      <rPr>
        <sz val="12"/>
        <color theme="1"/>
        <rFont val="メイリオ"/>
        <family val="3"/>
        <charset val="128"/>
      </rPr>
      <t>※グレーの網掛け部分は</t>
    </r>
    <r>
      <rPr>
        <b/>
        <sz val="12"/>
        <color theme="1"/>
        <rFont val="メイリオ"/>
        <family val="3"/>
        <charset val="128"/>
      </rPr>
      <t>右表</t>
    </r>
    <r>
      <rPr>
        <sz val="12"/>
        <color theme="1"/>
        <rFont val="メイリオ"/>
        <family val="3"/>
        <charset val="128"/>
      </rPr>
      <t>と</t>
    </r>
    <r>
      <rPr>
        <b/>
        <sz val="12"/>
        <color theme="1"/>
        <rFont val="メイリオ"/>
        <family val="3"/>
        <charset val="128"/>
      </rPr>
      <t>APFの計算列</t>
    </r>
    <r>
      <rPr>
        <sz val="12"/>
        <color theme="1"/>
        <rFont val="メイリオ"/>
        <family val="3"/>
        <charset val="128"/>
      </rPr>
      <t>との数字入れ替え。</t>
    </r>
    <rPh sb="5" eb="7">
      <t>アミカ</t>
    </rPh>
    <rPh sb="8" eb="10">
      <t>ブブン</t>
    </rPh>
    <rPh sb="11" eb="12">
      <t>ミギ</t>
    </rPh>
    <rPh sb="12" eb="13">
      <t>ヒョウ</t>
    </rPh>
    <rPh sb="18" eb="20">
      <t>ケイサン</t>
    </rPh>
    <rPh sb="20" eb="21">
      <t>レツ</t>
    </rPh>
    <rPh sb="23" eb="25">
      <t>スウジ</t>
    </rPh>
    <rPh sb="25" eb="26">
      <t>イ</t>
    </rPh>
    <rPh sb="27" eb="28">
      <t>カ</t>
    </rPh>
    <phoneticPr fontId="32"/>
  </si>
  <si>
    <t>各燃料単位</t>
    <rPh sb="0" eb="1">
      <t>カク</t>
    </rPh>
    <rPh sb="1" eb="3">
      <t>ネンリョウ</t>
    </rPh>
    <rPh sb="3" eb="5">
      <t>タンイ</t>
    </rPh>
    <phoneticPr fontId="32"/>
  </si>
  <si>
    <t>電力のCO2排出係数は</t>
    <phoneticPr fontId="7"/>
  </si>
  <si>
    <t xml:space="preserve"> </t>
    <phoneticPr fontId="7"/>
  </si>
  <si>
    <t>(GJ/年)</t>
    <rPh sb="4" eb="5">
      <t>ネン</t>
    </rPh>
    <phoneticPr fontId="7"/>
  </si>
  <si>
    <t>年間燃料使用量（主機）</t>
    <rPh sb="0" eb="2">
      <t>ネンカン</t>
    </rPh>
    <rPh sb="2" eb="4">
      <t>ネンリョウ</t>
    </rPh>
    <rPh sb="4" eb="7">
      <t>シヨウリョウ</t>
    </rPh>
    <rPh sb="8" eb="10">
      <t>シュキ</t>
    </rPh>
    <phoneticPr fontId="7"/>
  </si>
  <si>
    <t>年間電力使用量（補機）</t>
    <rPh sb="0" eb="2">
      <t>ネンカン</t>
    </rPh>
    <rPh sb="2" eb="7">
      <t>デンリョクシヨウリョウ</t>
    </rPh>
    <rPh sb="8" eb="10">
      <t>ホキ</t>
    </rPh>
    <phoneticPr fontId="7"/>
  </si>
  <si>
    <r>
      <t>CO</t>
    </r>
    <r>
      <rPr>
        <vertAlign val="subscript"/>
        <sz val="10"/>
        <color theme="1"/>
        <rFont val="メイリオ"/>
        <family val="3"/>
        <charset val="128"/>
      </rPr>
      <t>2</t>
    </r>
    <r>
      <rPr>
        <sz val="10"/>
        <color theme="1"/>
        <rFont val="メイリオ"/>
        <family val="3"/>
        <charset val="128"/>
      </rPr>
      <t>排出量（主機）</t>
    </r>
    <rPh sb="3" eb="5">
      <t>ハイシュツ</t>
    </rPh>
    <rPh sb="5" eb="6">
      <t>リョウ</t>
    </rPh>
    <rPh sb="7" eb="9">
      <t>シュキ</t>
    </rPh>
    <phoneticPr fontId="7"/>
  </si>
  <si>
    <r>
      <t>CO</t>
    </r>
    <r>
      <rPr>
        <vertAlign val="subscript"/>
        <sz val="10"/>
        <color theme="1"/>
        <rFont val="メイリオ"/>
        <family val="3"/>
        <charset val="128"/>
      </rPr>
      <t>2</t>
    </r>
    <r>
      <rPr>
        <sz val="10"/>
        <color theme="1"/>
        <rFont val="メイリオ"/>
        <family val="3"/>
        <charset val="128"/>
      </rPr>
      <t>排出量（補機）</t>
    </r>
    <rPh sb="3" eb="5">
      <t>ハイシュツ</t>
    </rPh>
    <rPh sb="5" eb="6">
      <t>リョウ</t>
    </rPh>
    <rPh sb="7" eb="9">
      <t>ホキ</t>
    </rPh>
    <phoneticPr fontId="7"/>
  </si>
  <si>
    <t>吸収式冷凍機を選択した場合は①へ</t>
    <rPh sb="0" eb="2">
      <t>キュウシュウ</t>
    </rPh>
    <rPh sb="2" eb="3">
      <t>シキ</t>
    </rPh>
    <rPh sb="3" eb="6">
      <t>レイトウキ</t>
    </rPh>
    <rPh sb="7" eb="9">
      <t>センタク</t>
    </rPh>
    <rPh sb="11" eb="13">
      <t>バアイ</t>
    </rPh>
    <phoneticPr fontId="7"/>
  </si>
  <si>
    <t>吸収式冷凍機を選択した場合は①へ</t>
    <rPh sb="0" eb="2">
      <t>キュウシュウ</t>
    </rPh>
    <rPh sb="2" eb="3">
      <t>シキ</t>
    </rPh>
    <rPh sb="3" eb="5">
      <t>レイトウ</t>
    </rPh>
    <phoneticPr fontId="7"/>
  </si>
  <si>
    <t>遠心冷凍機、水冷HPチラー、空冷HPチラーを選択した場合は⑤へ</t>
    <rPh sb="6" eb="8">
      <t>スイレイ</t>
    </rPh>
    <rPh sb="22" eb="24">
      <t>センタク</t>
    </rPh>
    <rPh sb="26" eb="28">
      <t>バアイ</t>
    </rPh>
    <phoneticPr fontId="7"/>
  </si>
  <si>
    <t>←</t>
    <phoneticPr fontId="32"/>
  </si>
  <si>
    <t>0.408から0.436へ変更</t>
    <rPh sb="13" eb="15">
      <t>ヘンコウ</t>
    </rPh>
    <phoneticPr fontId="7"/>
  </si>
  <si>
    <t>（燃料）主機　　  ③</t>
    <rPh sb="1" eb="3">
      <t>ネンリョウ</t>
    </rPh>
    <rPh sb="4" eb="6">
      <t>シュキ</t>
    </rPh>
    <phoneticPr fontId="32"/>
  </si>
  <si>
    <t>（電力）補機　　 ④</t>
    <rPh sb="1" eb="3">
      <t>デンリョク</t>
    </rPh>
    <rPh sb="4" eb="6">
      <t>ホキ</t>
    </rPh>
    <phoneticPr fontId="32"/>
  </si>
  <si>
    <t>年間燃料使用量（主機）</t>
    <rPh sb="0" eb="2">
      <t>ネンカン</t>
    </rPh>
    <rPh sb="2" eb="4">
      <t>ネンリョウ</t>
    </rPh>
    <rPh sb="4" eb="7">
      <t>シヨウリョウ</t>
    </rPh>
    <rPh sb="8" eb="10">
      <t>シュキ</t>
    </rPh>
    <phoneticPr fontId="32"/>
  </si>
  <si>
    <t>千円/kL</t>
  </si>
  <si>
    <t>千円/千Nm3</t>
  </si>
  <si>
    <t>単価</t>
    <rPh sb="0" eb="2">
      <t>タンカ</t>
    </rPh>
    <phoneticPr fontId="32"/>
  </si>
  <si>
    <t>台数を削除したセル</t>
    <rPh sb="0" eb="2">
      <t>ダイスウ</t>
    </rPh>
    <rPh sb="3" eb="5">
      <t>サクジョ</t>
    </rPh>
    <phoneticPr fontId="32"/>
  </si>
  <si>
    <t>年間電力使用量（補機）</t>
    <rPh sb="0" eb="7">
      <t>ネンカンデンリョクシヨウリョウ</t>
    </rPh>
    <rPh sb="8" eb="10">
      <t>ホキ</t>
    </rPh>
    <phoneticPr fontId="32"/>
  </si>
  <si>
    <t>　</t>
    <phoneticPr fontId="7"/>
  </si>
  <si>
    <t>表L38温風機の枠</t>
    <rPh sb="0" eb="1">
      <t>オモテ</t>
    </rPh>
    <rPh sb="4" eb="6">
      <t>オンプウ</t>
    </rPh>
    <rPh sb="6" eb="7">
      <t>キ</t>
    </rPh>
    <rPh sb="8" eb="9">
      <t>ワク</t>
    </rPh>
    <phoneticPr fontId="32"/>
  </si>
  <si>
    <t>表L76温風機の枠</t>
    <phoneticPr fontId="32"/>
  </si>
  <si>
    <t>表L39冷温水の枠</t>
    <rPh sb="0" eb="1">
      <t>オモテ</t>
    </rPh>
    <rPh sb="4" eb="7">
      <t>レイオンスイ</t>
    </rPh>
    <rPh sb="8" eb="9">
      <t>ワク</t>
    </rPh>
    <phoneticPr fontId="32"/>
  </si>
  <si>
    <t>表L77冷温水の枠</t>
    <rPh sb="4" eb="7">
      <t>レイオンスイ</t>
    </rPh>
    <phoneticPr fontId="32"/>
  </si>
  <si>
    <t>LNG</t>
    <phoneticPr fontId="32"/>
  </si>
  <si>
    <t>冷却塔ファンモーター定格出力</t>
    <rPh sb="10" eb="12">
      <t>テイカク</t>
    </rPh>
    <rPh sb="12" eb="14">
      <t>シュツリョク</t>
    </rPh>
    <phoneticPr fontId="7"/>
  </si>
  <si>
    <t>冷却水ポンプモーター定格出力</t>
    <phoneticPr fontId="7"/>
  </si>
  <si>
    <t>冷却塔ファンモーター定格出力</t>
    <phoneticPr fontId="7"/>
  </si>
  <si>
    <t>熱源水ポンプモーター定格出力</t>
    <rPh sb="0" eb="3">
      <t>ネツゲンスイ</t>
    </rPh>
    <phoneticPr fontId="7"/>
  </si>
  <si>
    <t>④’ 3+4</t>
    <phoneticPr fontId="7"/>
  </si>
  <si>
    <t>③’ 1+2+3</t>
    <phoneticPr fontId="7"/>
  </si>
  <si>
    <t>③ 1+2+3</t>
    <phoneticPr fontId="7"/>
  </si>
  <si>
    <t>④ 1+2+3 or 3+4</t>
    <phoneticPr fontId="7"/>
  </si>
  <si>
    <t>④’  1+2+3 or 3+4</t>
    <phoneticPr fontId="7"/>
  </si>
  <si>
    <t>冷温水ポンプモーター定格出力</t>
    <rPh sb="0" eb="3">
      <t>レイオンスイ</t>
    </rPh>
    <phoneticPr fontId="7"/>
  </si>
  <si>
    <t>（千円/年）</t>
    <rPh sb="4" eb="5">
      <t>ネン</t>
    </rPh>
    <phoneticPr fontId="7"/>
  </si>
  <si>
    <t>冷水ポンプモーター定格出力</t>
    <phoneticPr fontId="7"/>
  </si>
  <si>
    <t>冷却塔ファンモーター定格出力</t>
    <rPh sb="0" eb="3">
      <t>レイキャクトウ</t>
    </rPh>
    <rPh sb="10" eb="12">
      <t>テイカク</t>
    </rPh>
    <rPh sb="12" eb="14">
      <t>シュツリョク</t>
    </rPh>
    <phoneticPr fontId="7"/>
  </si>
  <si>
    <t>冷却水ポンプモーター定格出力</t>
    <rPh sb="0" eb="3">
      <t>レイキャクスイ</t>
    </rPh>
    <rPh sb="10" eb="12">
      <t>テイカク</t>
    </rPh>
    <rPh sb="12" eb="14">
      <t>シュツリョク</t>
    </rPh>
    <phoneticPr fontId="7"/>
  </si>
  <si>
    <t>熱源水ポンプモーター定格出力</t>
    <phoneticPr fontId="7"/>
  </si>
  <si>
    <t>冷温水ポンプモーター定格出力</t>
    <rPh sb="0" eb="3">
      <t>レイオンスイ</t>
    </rPh>
    <rPh sb="10" eb="12">
      <t>テイカク</t>
    </rPh>
    <rPh sb="12" eb="14">
      <t>シュツリョク</t>
    </rPh>
    <phoneticPr fontId="7"/>
  </si>
  <si>
    <t>送風機モーター定格出力</t>
    <rPh sb="0" eb="3">
      <t>ソウフウキ</t>
    </rPh>
    <rPh sb="7" eb="9">
      <t>テイカク</t>
    </rPh>
    <rPh sb="9" eb="11">
      <t>シュツリョク</t>
    </rPh>
    <phoneticPr fontId="7"/>
  </si>
  <si>
    <t>送風機モーター定格出力</t>
    <phoneticPr fontId="7"/>
  </si>
  <si>
    <t>（千円/年）</t>
    <phoneticPr fontId="7"/>
  </si>
  <si>
    <t>（※別シート【1-2 フローチャート(活動量算定)】参照）</t>
    <rPh sb="2" eb="3">
      <t>ベツ</t>
    </rPh>
    <rPh sb="19" eb="22">
      <t>カツドウリョウ</t>
    </rPh>
    <rPh sb="22" eb="24">
      <t>サンテイ</t>
    </rPh>
    <rPh sb="26" eb="28">
      <t>サンショウ</t>
    </rPh>
    <phoneticPr fontId="7"/>
  </si>
  <si>
    <t>（※別シート【2-1 算定シート(電動式)】へ入力）　</t>
    <phoneticPr fontId="7"/>
  </si>
  <si>
    <r>
      <rPr>
        <sz val="12"/>
        <color theme="1"/>
        <rFont val="ＭＳ Ｐゴシック"/>
        <family val="3"/>
        <charset val="128"/>
      </rPr>
      <t>（</t>
    </r>
    <r>
      <rPr>
        <sz val="12"/>
        <color theme="1"/>
        <rFont val="Arial"/>
        <family val="2"/>
      </rPr>
      <t>CO</t>
    </r>
    <r>
      <rPr>
        <vertAlign val="subscript"/>
        <sz val="12"/>
        <color theme="1"/>
        <rFont val="Arial"/>
        <family val="2"/>
      </rPr>
      <t>2</t>
    </r>
    <r>
      <rPr>
        <sz val="12"/>
        <color theme="1"/>
        <rFont val="ＭＳ Ｐゴシック"/>
        <family val="3"/>
        <charset val="128"/>
      </rPr>
      <t>削減対策の効果算定ガイドライン等）</t>
    </r>
    <rPh sb="19" eb="20">
      <t>トウ</t>
    </rPh>
    <phoneticPr fontId="4"/>
  </si>
  <si>
    <t>空調活動量の算定ツールを選ぶ際に参考にしてください。</t>
    <rPh sb="0" eb="2">
      <t>クウチョウ</t>
    </rPh>
    <rPh sb="2" eb="5">
      <t>カツドウリョウ</t>
    </rPh>
    <rPh sb="6" eb="8">
      <t>サンテイ</t>
    </rPh>
    <rPh sb="12" eb="13">
      <t>エラ</t>
    </rPh>
    <rPh sb="14" eb="15">
      <t>サイ</t>
    </rPh>
    <rPh sb="16" eb="18">
      <t>サンコウ</t>
    </rPh>
    <phoneticPr fontId="7"/>
  </si>
  <si>
    <t>kWh/年</t>
    <rPh sb="4" eb="5">
      <t>ネン</t>
    </rPh>
    <phoneticPr fontId="32"/>
  </si>
  <si>
    <t>kWh/年</t>
    <rPh sb="4" eb="5">
      <t>ネン</t>
    </rPh>
    <phoneticPr fontId="7"/>
  </si>
  <si>
    <t>kWh/年</t>
    <phoneticPr fontId="32"/>
  </si>
  <si>
    <t>熱源水ポンプ ↑</t>
    <rPh sb="0" eb="3">
      <t>ネツゲンスイ</t>
    </rPh>
    <phoneticPr fontId="32"/>
  </si>
  <si>
    <t>1で選択した設備の電力/燃料使用量を①～③の当てはまる様式にいずれか1つ入力してください。</t>
    <rPh sb="2" eb="4">
      <t>センタク</t>
    </rPh>
    <rPh sb="6" eb="8">
      <t>セツビ</t>
    </rPh>
    <rPh sb="9" eb="11">
      <t>デンリョク</t>
    </rPh>
    <rPh sb="12" eb="14">
      <t>ネンリョウ</t>
    </rPh>
    <rPh sb="14" eb="17">
      <t>シヨウリョウ</t>
    </rPh>
    <rPh sb="22" eb="23">
      <t>ア</t>
    </rPh>
    <rPh sb="27" eb="29">
      <t>ヨウシキ</t>
    </rPh>
    <rPh sb="36" eb="38">
      <t>ニュウリョク</t>
    </rPh>
    <phoneticPr fontId="7"/>
  </si>
  <si>
    <t>－</t>
    <phoneticPr fontId="32"/>
  </si>
  <si>
    <t>GJ</t>
    <phoneticPr fontId="32"/>
  </si>
  <si>
    <t>各燃料単位</t>
    <rPh sb="0" eb="1">
      <t>カク</t>
    </rPh>
    <rPh sb="1" eb="5">
      <t>ネンリョウタンイ</t>
    </rPh>
    <phoneticPr fontId="32"/>
  </si>
  <si>
    <t>MJ/kWh</t>
    <phoneticPr fontId="32"/>
  </si>
  <si>
    <t>温水ボイラのため暖房のみの計算</t>
    <rPh sb="0" eb="2">
      <t>オンスイ</t>
    </rPh>
    <rPh sb="8" eb="10">
      <t>ダンボウ</t>
    </rPh>
    <rPh sb="13" eb="15">
      <t>ケイサン</t>
    </rPh>
    <phoneticPr fontId="32"/>
  </si>
  <si>
    <t>t-CO2/GJ</t>
    <phoneticPr fontId="32"/>
  </si>
  <si>
    <t>↑電気の検算用</t>
    <rPh sb="1" eb="3">
      <t>デンキ</t>
    </rPh>
    <rPh sb="4" eb="6">
      <t>ケンザン</t>
    </rPh>
    <rPh sb="6" eb="7">
      <t>ヨウ</t>
    </rPh>
    <phoneticPr fontId="32"/>
  </si>
  <si>
    <t>↑電気t/kWhによる</t>
    <rPh sb="1" eb="3">
      <t>デンキ</t>
    </rPh>
    <phoneticPr fontId="32"/>
  </si>
  <si>
    <t>↑電気t/GJによる検算</t>
    <rPh sb="1" eb="3">
      <t>デンキ</t>
    </rPh>
    <rPh sb="10" eb="12">
      <t>ケンザン</t>
    </rPh>
    <phoneticPr fontId="32"/>
  </si>
  <si>
    <t>0.408から0.436へ変更、さらに0.434へ変更</t>
    <rPh sb="13" eb="15">
      <t>ヘンコウ</t>
    </rPh>
    <rPh sb="25" eb="27">
      <t>ヘンコウ</t>
    </rPh>
    <phoneticPr fontId="7"/>
  </si>
  <si>
    <t>円/kWh</t>
    <phoneticPr fontId="32"/>
  </si>
  <si>
    <t>基準年度の電力単価(円/kWh)を入力してください。</t>
    <rPh sb="0" eb="2">
      <t>キジュン</t>
    </rPh>
    <rPh sb="2" eb="4">
      <t>ネンド</t>
    </rPh>
    <rPh sb="5" eb="7">
      <t>デンリョク</t>
    </rPh>
    <rPh sb="7" eb="9">
      <t>タンカ</t>
    </rPh>
    <rPh sb="10" eb="11">
      <t>エン</t>
    </rPh>
    <rPh sb="17" eb="19">
      <t>ニュウリョク</t>
    </rPh>
    <phoneticPr fontId="7"/>
  </si>
  <si>
    <t>改訂日</t>
    <rPh sb="0" eb="2">
      <t>カイテイ</t>
    </rPh>
    <rPh sb="2" eb="3">
      <t>ヒ</t>
    </rPh>
    <phoneticPr fontId="7"/>
  </si>
  <si>
    <t>Ver</t>
    <phoneticPr fontId="7"/>
  </si>
  <si>
    <t>担当</t>
    <rPh sb="0" eb="2">
      <t>タントウ</t>
    </rPh>
    <phoneticPr fontId="7"/>
  </si>
  <si>
    <t>内容</t>
    <rPh sb="0" eb="2">
      <t>ナイヨウ</t>
    </rPh>
    <phoneticPr fontId="7"/>
  </si>
  <si>
    <t>平野</t>
    <rPh sb="0" eb="2">
      <t>ヒラノ</t>
    </rPh>
    <phoneticPr fontId="7"/>
  </si>
  <si>
    <t>1.0</t>
    <phoneticPr fontId="7"/>
  </si>
  <si>
    <t>1.0.1</t>
    <phoneticPr fontId="7"/>
  </si>
  <si>
    <t>（燃焼式）主機の電力使用量が1000分の1になっていたため修正</t>
    <rPh sb="1" eb="4">
      <t>ネンショウシキ</t>
    </rPh>
    <rPh sb="5" eb="6">
      <t>シュ</t>
    </rPh>
    <rPh sb="6" eb="7">
      <t>キ</t>
    </rPh>
    <rPh sb="8" eb="13">
      <t>デンリョクシヨウリョウ</t>
    </rPh>
    <rPh sb="18" eb="19">
      <t>ブン</t>
    </rPh>
    <rPh sb="29" eb="31">
      <t>シュウセイ</t>
    </rPh>
    <phoneticPr fontId="7"/>
  </si>
  <si>
    <t>台数</t>
    <rPh sb="0" eb="2">
      <t>ダイスウ</t>
    </rPh>
    <phoneticPr fontId="32"/>
  </si>
  <si>
    <t>↓将来、台数を入れるための仮枠</t>
    <rPh sb="1" eb="3">
      <t>ショウライ</t>
    </rPh>
    <rPh sb="4" eb="6">
      <t>ダイスウ</t>
    </rPh>
    <rPh sb="7" eb="8">
      <t>イ</t>
    </rPh>
    <rPh sb="13" eb="14">
      <t>カリ</t>
    </rPh>
    <rPh sb="14" eb="15">
      <t>ワク</t>
    </rPh>
    <phoneticPr fontId="32"/>
  </si>
  <si>
    <t>(kWh/年)</t>
    <phoneticPr fontId="7"/>
  </si>
  <si>
    <t>GHPを選択し、APFがわかる場合は②、わからないときは③へ</t>
    <rPh sb="4" eb="6">
      <t>センタク</t>
    </rPh>
    <rPh sb="15" eb="17">
      <t>バアイ</t>
    </rPh>
    <phoneticPr fontId="7"/>
  </si>
  <si>
    <t>GHPを選択し、Step 2の②へ入力した場合は右の②へ、Step 2の③へ入力した場合は右の③へ</t>
    <rPh sb="17" eb="19">
      <t>ニュウリョク</t>
    </rPh>
    <rPh sb="24" eb="25">
      <t>ミギ</t>
    </rPh>
    <rPh sb="45" eb="46">
      <t>ミギ</t>
    </rPh>
    <phoneticPr fontId="7"/>
  </si>
  <si>
    <t>GHP(APF)</t>
    <phoneticPr fontId="32"/>
  </si>
  <si>
    <t>補機電力使用量（冷暖房）</t>
    <rPh sb="0" eb="2">
      <t>ホキ</t>
    </rPh>
    <rPh sb="2" eb="4">
      <t>デンリョク</t>
    </rPh>
    <rPh sb="4" eb="7">
      <t>シヨウリョウ</t>
    </rPh>
    <rPh sb="8" eb="11">
      <t>レイダンボウ</t>
    </rPh>
    <phoneticPr fontId="32"/>
  </si>
  <si>
    <t>GHP→EHPのための補機GJ換算</t>
    <rPh sb="11" eb="13">
      <t>ホキ</t>
    </rPh>
    <rPh sb="15" eb="17">
      <t>カンサン</t>
    </rPh>
    <phoneticPr fontId="32"/>
  </si>
  <si>
    <t>1.1</t>
    <phoneticPr fontId="7"/>
  </si>
  <si>
    <t>（燃焼式）GHPのAPF利用で導入後のGHP補機電力、EHP主機電力の修正</t>
    <rPh sb="12" eb="14">
      <t>リヨウ</t>
    </rPh>
    <rPh sb="15" eb="18">
      <t>ドウニュウゴ</t>
    </rPh>
    <rPh sb="22" eb="26">
      <t>ホキデンリョク</t>
    </rPh>
    <rPh sb="30" eb="32">
      <t>シュキ</t>
    </rPh>
    <rPh sb="32" eb="34">
      <t>デンリョク</t>
    </rPh>
    <rPh sb="35" eb="37">
      <t>シュウセイ</t>
    </rPh>
    <phoneticPr fontId="7"/>
  </si>
  <si>
    <t>（※別シート【2-2 算定シート(燃焼式)】へ入力）</t>
    <phoneticPr fontId="7"/>
  </si>
  <si>
    <t>既存が温水ボイラーの時は非表示</t>
    <rPh sb="0" eb="2">
      <t>キゾン</t>
    </rPh>
    <rPh sb="3" eb="5">
      <t>オンスイ</t>
    </rPh>
    <rPh sb="10" eb="11">
      <t>トキ</t>
    </rPh>
    <rPh sb="12" eb="15">
      <t>ヒヒョウジ</t>
    </rPh>
    <phoneticPr fontId="32"/>
  </si>
  <si>
    <t>A</t>
    <phoneticPr fontId="32"/>
  </si>
  <si>
    <t>B</t>
    <phoneticPr fontId="32"/>
  </si>
  <si>
    <t>冷房COP</t>
    <rPh sb="0" eb="2">
      <t>レイボウ</t>
    </rPh>
    <phoneticPr fontId="7"/>
  </si>
  <si>
    <t>暖房COP</t>
    <rPh sb="0" eb="2">
      <t>ダンボウ</t>
    </rPh>
    <phoneticPr fontId="7"/>
  </si>
  <si>
    <t>導入計算式</t>
    <rPh sb="0" eb="2">
      <t>ドウニュウ</t>
    </rPh>
    <rPh sb="2" eb="4">
      <t>ケイサン</t>
    </rPh>
    <rPh sb="4" eb="5">
      <t>シキ</t>
    </rPh>
    <phoneticPr fontId="32"/>
  </si>
  <si>
    <t>◆</t>
    <phoneticPr fontId="32"/>
  </si>
  <si>
    <t>◇</t>
    <phoneticPr fontId="32"/>
  </si>
  <si>
    <t>◆◇</t>
    <phoneticPr fontId="7"/>
  </si>
  <si>
    <t>主機電力使用量</t>
    <rPh sb="0" eb="2">
      <t>シュキ</t>
    </rPh>
    <rPh sb="2" eb="4">
      <t>デンリョク</t>
    </rPh>
    <rPh sb="4" eb="7">
      <t>シヨウリョウ</t>
    </rPh>
    <phoneticPr fontId="32"/>
  </si>
  <si>
    <t>補機電力使用量</t>
  </si>
  <si>
    <t>①　冷房</t>
    <rPh sb="2" eb="4">
      <t>レイボウ</t>
    </rPh>
    <phoneticPr fontId="32"/>
  </si>
  <si>
    <t>②　暖房</t>
    <rPh sb="2" eb="4">
      <t>ダンボウ</t>
    </rPh>
    <phoneticPr fontId="32"/>
  </si>
  <si>
    <t>③　冷房</t>
    <rPh sb="2" eb="4">
      <t>レイボウ</t>
    </rPh>
    <phoneticPr fontId="32"/>
  </si>
  <si>
    <t>④　暖房</t>
    <rPh sb="2" eb="4">
      <t>ダンボウ</t>
    </rPh>
    <phoneticPr fontId="32"/>
  </si>
  <si>
    <r>
      <t>電力のCO</t>
    </r>
    <r>
      <rPr>
        <vertAlign val="subscript"/>
        <sz val="10"/>
        <color theme="1"/>
        <rFont val="メイリオ"/>
        <family val="3"/>
        <charset val="128"/>
      </rPr>
      <t>2</t>
    </r>
    <r>
      <rPr>
        <sz val="10"/>
        <color theme="1"/>
        <rFont val="メイリオ"/>
        <family val="3"/>
        <charset val="128"/>
      </rPr>
      <t>排出係数</t>
    </r>
    <rPh sb="0" eb="2">
      <t>デンリョク</t>
    </rPh>
    <rPh sb="6" eb="10">
      <t>ハイシュツケイスウ</t>
    </rPh>
    <phoneticPr fontId="32"/>
  </si>
  <si>
    <t>①＋②合計</t>
    <rPh sb="3" eb="5">
      <t>ゴウケイ</t>
    </rPh>
    <phoneticPr fontId="32"/>
  </si>
  <si>
    <t>（通年）</t>
    <rPh sb="1" eb="3">
      <t>ツウネン</t>
    </rPh>
    <phoneticPr fontId="32"/>
  </si>
  <si>
    <t>(kWh/年)</t>
    <phoneticPr fontId="32"/>
  </si>
  <si>
    <t>③＋④合計</t>
    <rPh sb="3" eb="5">
      <t>ゴウケイ</t>
    </rPh>
    <phoneticPr fontId="32"/>
  </si>
  <si>
    <t>一次冷温水ポンプモーター定格出力</t>
    <rPh sb="5" eb="6">
      <t>オン</t>
    </rPh>
    <phoneticPr fontId="7"/>
  </si>
  <si>
    <t>一次冷温水ポンプモーター定格出力</t>
    <rPh sb="3" eb="4">
      <t>オン</t>
    </rPh>
    <phoneticPr fontId="7"/>
  </si>
  <si>
    <t>(kW,L/h,kg/h)</t>
    <phoneticPr fontId="7"/>
  </si>
  <si>
    <t>遠心冷凍機/水冷チラー/空冷チラーを
選択した場合は③へ</t>
    <rPh sb="0" eb="2">
      <t>エンシン</t>
    </rPh>
    <rPh sb="2" eb="5">
      <t>レイトウキ</t>
    </rPh>
    <rPh sb="19" eb="21">
      <t>センタク</t>
    </rPh>
    <rPh sb="23" eb="25">
      <t>バアイ</t>
    </rPh>
    <phoneticPr fontId="7"/>
  </si>
  <si>
    <t>遠心冷凍機/水冷チラー/空冷チラーを
選択した場合は③へ</t>
    <phoneticPr fontId="7"/>
  </si>
  <si>
    <t>現在お使いの設備は何ですか？4種類の中からお選びください。</t>
    <rPh sb="0" eb="2">
      <t>ゲンザイ</t>
    </rPh>
    <rPh sb="3" eb="4">
      <t>ツカ</t>
    </rPh>
    <rPh sb="6" eb="8">
      <t>セツビ</t>
    </rPh>
    <rPh sb="9" eb="10">
      <t>ナニ</t>
    </rPh>
    <phoneticPr fontId="7"/>
  </si>
  <si>
    <t>導入予定の設備は何ですか？4種類の中からお選びください。</t>
    <rPh sb="0" eb="4">
      <t>ドウニュウヨテイ</t>
    </rPh>
    <phoneticPr fontId="7"/>
  </si>
  <si>
    <t>遠心/空冷/水冷</t>
    <rPh sb="0" eb="2">
      <t>エンシン</t>
    </rPh>
    <rPh sb="3" eb="5">
      <t>クウレイ</t>
    </rPh>
    <rPh sb="6" eb="8">
      <t>スイレイ</t>
    </rPh>
    <phoneticPr fontId="32"/>
  </si>
  <si>
    <t>容量補正</t>
    <rPh sb="0" eb="2">
      <t>ヨウリョウ</t>
    </rPh>
    <rPh sb="2" eb="4">
      <t>ホセイ</t>
    </rPh>
    <phoneticPr fontId="32"/>
  </si>
  <si>
    <t>エネルギー使用量（全体）</t>
    <rPh sb="5" eb="8">
      <t>シヨウリョウ</t>
    </rPh>
    <phoneticPr fontId="7"/>
  </si>
  <si>
    <t>GJ/年</t>
    <rPh sb="3" eb="4">
      <t>ネン</t>
    </rPh>
    <phoneticPr fontId="7"/>
  </si>
  <si>
    <t>エネルギー使用量（全体）</t>
    <rPh sb="5" eb="8">
      <t>シヨウリョウ</t>
    </rPh>
    <phoneticPr fontId="32"/>
  </si>
  <si>
    <t>燃料がガスの場合はkW、A重油、灯油はL/h、</t>
    <rPh sb="0" eb="2">
      <t>ネンリョウ</t>
    </rPh>
    <rPh sb="6" eb="8">
      <t>バアイ</t>
    </rPh>
    <phoneticPr fontId="7"/>
  </si>
  <si>
    <t>LPGはkg/hで入力</t>
  </si>
  <si>
    <t>灯油、A重油、LPG</t>
    <rPh sb="0" eb="2">
      <t>トウユ</t>
    </rPh>
    <rPh sb="4" eb="6">
      <t>ジュウユ</t>
    </rPh>
    <phoneticPr fontId="32"/>
  </si>
  <si>
    <t>【既存設備】 計算はAPFのみイキ</t>
    <rPh sb="1" eb="5">
      <t>キソンセツビ</t>
    </rPh>
    <rPh sb="7" eb="9">
      <t>ケイサン</t>
    </rPh>
    <phoneticPr fontId="32"/>
  </si>
  <si>
    <t>【導入設備】計算はAPFのみイキ</t>
    <rPh sb="1" eb="3">
      <t>ドウニュウ</t>
    </rPh>
    <rPh sb="3" eb="5">
      <t>セツビ</t>
    </rPh>
    <phoneticPr fontId="32"/>
  </si>
  <si>
    <t>吸収式冷凍機</t>
    <phoneticPr fontId="7"/>
  </si>
  <si>
    <t>①吸収式冷凍機</t>
    <phoneticPr fontId="7"/>
  </si>
  <si>
    <t>2025/3/26追加</t>
    <rPh sb="9" eb="11">
      <t>ツイカ</t>
    </rPh>
    <phoneticPr fontId="32"/>
  </si>
  <si>
    <t>①'　冷房</t>
    <rPh sb="3" eb="5">
      <t>レイボウ</t>
    </rPh>
    <phoneticPr fontId="32"/>
  </si>
  <si>
    <t>②'　暖房</t>
    <rPh sb="3" eb="5">
      <t>ダンボウ</t>
    </rPh>
    <phoneticPr fontId="32"/>
  </si>
  <si>
    <t>2025/3/26:冷房能力が大きくなる場合は、補正値を掛ける(冷暖房両方)</t>
    <rPh sb="10" eb="14">
      <t>レイボウノウリョク</t>
    </rPh>
    <rPh sb="15" eb="16">
      <t>オオ</t>
    </rPh>
    <rPh sb="20" eb="22">
      <t>バアイ</t>
    </rPh>
    <rPh sb="24" eb="27">
      <t>ホセイチ</t>
    </rPh>
    <rPh sb="28" eb="29">
      <t>カ</t>
    </rPh>
    <rPh sb="32" eb="35">
      <t>レイダンボウ</t>
    </rPh>
    <rPh sb="35" eb="37">
      <t>リョウホウ</t>
    </rPh>
    <phoneticPr fontId="32"/>
  </si>
  <si>
    <t>主機エネルギー使用量</t>
    <rPh sb="0" eb="2">
      <t>シュキ</t>
    </rPh>
    <rPh sb="7" eb="10">
      <t>シヨウリョウ</t>
    </rPh>
    <phoneticPr fontId="32"/>
  </si>
  <si>
    <t>冷房</t>
    <rPh sb="0" eb="2">
      <t>レイボウ</t>
    </rPh>
    <phoneticPr fontId="32"/>
  </si>
  <si>
    <t>暖房</t>
    <rPh sb="0" eb="2">
      <t>ダンボウ</t>
    </rPh>
    <phoneticPr fontId="32"/>
  </si>
  <si>
    <t>2025/3/26:補正値追加</t>
    <rPh sb="10" eb="15">
      <t>ホセイチツイカ</t>
    </rPh>
    <phoneticPr fontId="32"/>
  </si>
  <si>
    <t>主機補正値</t>
    <rPh sb="0" eb="2">
      <t>シュキ</t>
    </rPh>
    <rPh sb="2" eb="5">
      <t>ホセイチ</t>
    </rPh>
    <phoneticPr fontId="32"/>
  </si>
  <si>
    <t>補機エネルギー使用量</t>
    <rPh sb="0" eb="2">
      <t>ホキ</t>
    </rPh>
    <rPh sb="7" eb="10">
      <t>シヨウリョウ</t>
    </rPh>
    <phoneticPr fontId="32"/>
  </si>
  <si>
    <t>2025/3/27:式の拡張性の部分が誤り、修正</t>
    <rPh sb="10" eb="11">
      <t>シキ</t>
    </rPh>
    <rPh sb="12" eb="15">
      <t>カクチョウセイ</t>
    </rPh>
    <rPh sb="16" eb="18">
      <t>ブブン</t>
    </rPh>
    <rPh sb="19" eb="20">
      <t>アヤマ</t>
    </rPh>
    <rPh sb="22" eb="24">
      <t>シュウセイ</t>
    </rPh>
    <phoneticPr fontId="32"/>
  </si>
  <si>
    <t>2025/3/27:ミスにより未使用に変更</t>
    <rPh sb="15" eb="18">
      <t>ミシヨウ</t>
    </rPh>
    <rPh sb="19" eb="21">
      <t>ヘンコウ</t>
    </rPh>
    <phoneticPr fontId="32"/>
  </si>
  <si>
    <t>既存</t>
    <rPh sb="0" eb="2">
      <t>キゾン</t>
    </rPh>
    <phoneticPr fontId="32"/>
  </si>
  <si>
    <t>主機冷房</t>
    <rPh sb="0" eb="2">
      <t>シュキ</t>
    </rPh>
    <rPh sb="2" eb="4">
      <t>レイボウ</t>
    </rPh>
    <phoneticPr fontId="32"/>
  </si>
  <si>
    <t>主機暖房</t>
    <rPh sb="0" eb="2">
      <t>シュキ</t>
    </rPh>
    <rPh sb="2" eb="4">
      <t>ダンボウ</t>
    </rPh>
    <phoneticPr fontId="32"/>
  </si>
  <si>
    <t>補機冷房</t>
    <rPh sb="0" eb="2">
      <t>ホキ</t>
    </rPh>
    <rPh sb="2" eb="4">
      <t>レイボウ</t>
    </rPh>
    <phoneticPr fontId="32"/>
  </si>
  <si>
    <t>補機暖房</t>
    <rPh sb="0" eb="2">
      <t>ホキ</t>
    </rPh>
    <rPh sb="2" eb="4">
      <t>ダンボウ</t>
    </rPh>
    <phoneticPr fontId="32"/>
  </si>
  <si>
    <t>GHP</t>
    <phoneticPr fontId="32"/>
  </si>
  <si>
    <t>主機</t>
    <rPh sb="0" eb="2">
      <t>シュキ</t>
    </rPh>
    <phoneticPr fontId="32"/>
  </si>
  <si>
    <t>補機</t>
    <rPh sb="0" eb="2">
      <t>ホキ</t>
    </rPh>
    <phoneticPr fontId="32"/>
  </si>
  <si>
    <t>step3</t>
    <phoneticPr fontId="32"/>
  </si>
  <si>
    <t>導入後</t>
    <rPh sb="0" eb="3">
      <t>ドウニュウゴ</t>
    </rPh>
    <phoneticPr fontId="32"/>
  </si>
  <si>
    <t>冷房能力</t>
    <rPh sb="0" eb="4">
      <t>レイボウノウリョク</t>
    </rPh>
    <phoneticPr fontId="32"/>
  </si>
  <si>
    <t>暖房能力</t>
    <rPh sb="0" eb="2">
      <t>ダンボウ</t>
    </rPh>
    <rPh sb="2" eb="4">
      <t>ノウリョク</t>
    </rPh>
    <phoneticPr fontId="32"/>
  </si>
  <si>
    <t>冷房燃料消費量</t>
    <rPh sb="0" eb="2">
      <t>レイボウ</t>
    </rPh>
    <rPh sb="2" eb="4">
      <t>ネンリョウ</t>
    </rPh>
    <rPh sb="4" eb="7">
      <t>ショウヒリョウ</t>
    </rPh>
    <phoneticPr fontId="32"/>
  </si>
  <si>
    <t>暖房燃料消費量</t>
    <rPh sb="0" eb="2">
      <t>ダンボウ</t>
    </rPh>
    <rPh sb="2" eb="4">
      <t>ネンリョウ</t>
    </rPh>
    <rPh sb="4" eb="7">
      <t>ショウヒリョウ</t>
    </rPh>
    <phoneticPr fontId="32"/>
  </si>
  <si>
    <t>冷房消費電力</t>
    <rPh sb="0" eb="4">
      <t>レイボウショウヒ</t>
    </rPh>
    <rPh sb="4" eb="6">
      <t>デンリョク</t>
    </rPh>
    <phoneticPr fontId="32"/>
  </si>
  <si>
    <t>暖房消費電力</t>
    <rPh sb="0" eb="2">
      <t>ダンボウ</t>
    </rPh>
    <rPh sb="2" eb="4">
      <t>ショウヒ</t>
    </rPh>
    <rPh sb="4" eb="6">
      <t>デンリョク</t>
    </rPh>
    <phoneticPr fontId="32"/>
  </si>
  <si>
    <t>冷却塔ファン消費電力</t>
  </si>
  <si>
    <t>冷却水ポンプ消費電力</t>
  </si>
  <si>
    <t>温水ボイラーを選択した場合は⑥へ</t>
    <rPh sb="0" eb="2">
      <t>オンスイ</t>
    </rPh>
    <phoneticPr fontId="7"/>
  </si>
  <si>
    <t>2025/3/26:補正値を掛ける,3/27:中止</t>
    <rPh sb="10" eb="13">
      <t>ホセイチ</t>
    </rPh>
    <rPh sb="14" eb="15">
      <t>カ</t>
    </rPh>
    <rPh sb="23" eb="25">
      <t>チュウシ</t>
    </rPh>
    <phoneticPr fontId="32"/>
  </si>
  <si>
    <t>2025/3/27:補機補正なし</t>
    <rPh sb="10" eb="14">
      <t>ホキホセイ</t>
    </rPh>
    <phoneticPr fontId="32"/>
  </si>
  <si>
    <t>設備補機（冷房）*1</t>
    <rPh sb="2" eb="4">
      <t>ホキ</t>
    </rPh>
    <rPh sb="5" eb="7">
      <t>レイボウ</t>
    </rPh>
    <phoneticPr fontId="7"/>
  </si>
  <si>
    <t>設備補機（暖房）*1</t>
    <rPh sb="2" eb="4">
      <t>ホキ</t>
    </rPh>
    <rPh sb="5" eb="7">
      <t>ダンボウ</t>
    </rPh>
    <phoneticPr fontId="7"/>
  </si>
  <si>
    <t>*1 二次側の空調設備および二次冷温水ポンプは除いて下さい</t>
    <rPh sb="3" eb="4">
      <t>2</t>
    </rPh>
    <rPh sb="4" eb="5">
      <t>ジ</t>
    </rPh>
    <rPh sb="5" eb="6">
      <t>ガワ</t>
    </rPh>
    <rPh sb="7" eb="11">
      <t>クウチョウセツビ</t>
    </rPh>
    <rPh sb="14" eb="16">
      <t>ニジ</t>
    </rPh>
    <rPh sb="16" eb="19">
      <t>レイオンスイ</t>
    </rPh>
    <rPh sb="23" eb="24">
      <t>ノゾ</t>
    </rPh>
    <rPh sb="26" eb="27">
      <t>クダ</t>
    </rPh>
    <phoneticPr fontId="7"/>
  </si>
  <si>
    <t>設備補機（通年）*1</t>
    <rPh sb="0" eb="2">
      <t>セツビ</t>
    </rPh>
    <rPh sb="2" eb="4">
      <t>ホキ</t>
    </rPh>
    <rPh sb="5" eb="7">
      <t>ツウネン</t>
    </rPh>
    <phoneticPr fontId="7"/>
  </si>
  <si>
    <t>設備補機（電力）*1</t>
    <rPh sb="0" eb="2">
      <t>セツビ</t>
    </rPh>
    <rPh sb="2" eb="4">
      <t>ホキ</t>
    </rPh>
    <rPh sb="5" eb="7">
      <t>デンリョク</t>
    </rPh>
    <phoneticPr fontId="7"/>
  </si>
  <si>
    <t>*1 二次側の空調設備および二次冷温水ポンプは除いて下さい</t>
    <rPh sb="3" eb="6">
      <t>2ジガワ</t>
    </rPh>
    <rPh sb="7" eb="9">
      <t>クウチョウ</t>
    </rPh>
    <rPh sb="9" eb="11">
      <t>セツビ</t>
    </rPh>
    <rPh sb="14" eb="19">
      <t>ニジレイオンスイ</t>
    </rPh>
    <rPh sb="23" eb="24">
      <t>ノゾ</t>
    </rPh>
    <rPh sb="26" eb="27">
      <t>クダ</t>
    </rPh>
    <phoneticPr fontId="7"/>
  </si>
  <si>
    <t>1.2</t>
    <phoneticPr fontId="7"/>
  </si>
  <si>
    <t>補機電力使用量の修正、主機設備能力補正を追加</t>
    <rPh sb="0" eb="2">
      <t>ホキ</t>
    </rPh>
    <rPh sb="2" eb="4">
      <t>デンリョク</t>
    </rPh>
    <rPh sb="4" eb="7">
      <t>シヨウリョウ</t>
    </rPh>
    <rPh sb="8" eb="10">
      <t>シュウセイ</t>
    </rPh>
    <rPh sb="11" eb="13">
      <t>シュキ</t>
    </rPh>
    <rPh sb="13" eb="15">
      <t>セツビ</t>
    </rPh>
    <rPh sb="15" eb="19">
      <t>ノウリョクホセイ</t>
    </rPh>
    <rPh sb="20" eb="22">
      <t>ツイカ</t>
    </rPh>
    <phoneticPr fontId="7"/>
  </si>
  <si>
    <r>
      <t>4で選択した設備の</t>
    </r>
    <r>
      <rPr>
        <u/>
        <sz val="10"/>
        <color theme="1"/>
        <rFont val="メイリオ"/>
        <family val="3"/>
        <charset val="128"/>
      </rPr>
      <t>定格</t>
    </r>
    <r>
      <rPr>
        <sz val="10"/>
        <color theme="1"/>
        <rFont val="メイリオ"/>
        <family val="3"/>
        <charset val="128"/>
      </rPr>
      <t>性能を①～④の当てはまる様式にいずれか1つ入力してください。*3</t>
    </r>
    <rPh sb="2" eb="4">
      <t>センタク</t>
    </rPh>
    <phoneticPr fontId="7"/>
  </si>
  <si>
    <t>*3 同じ型式で複数台ある場合は合計値を入力して下さい</t>
    <rPh sb="24" eb="25">
      <t>クダ</t>
    </rPh>
    <phoneticPr fontId="7"/>
  </si>
  <si>
    <r>
      <t>4で選択した設備の</t>
    </r>
    <r>
      <rPr>
        <u/>
        <sz val="10"/>
        <color theme="1"/>
        <rFont val="メイリオ"/>
        <family val="3"/>
        <charset val="128"/>
      </rPr>
      <t>定格</t>
    </r>
    <r>
      <rPr>
        <sz val="10"/>
        <color theme="1"/>
        <rFont val="メイリオ"/>
        <family val="3"/>
        <charset val="128"/>
      </rPr>
      <t>性能を当てはまる様式にいずれか1つ入力してください。*2</t>
    </r>
    <rPh sb="2" eb="4">
      <t>センタク</t>
    </rPh>
    <phoneticPr fontId="7"/>
  </si>
  <si>
    <r>
      <t>熱源水ポンプモーター定格出力 *</t>
    </r>
    <r>
      <rPr>
        <sz val="11"/>
        <color theme="1"/>
        <rFont val="メイリオ"/>
        <family val="3"/>
        <charset val="128"/>
      </rPr>
      <t>3</t>
    </r>
    <rPh sb="0" eb="2">
      <t>ネツゲン</t>
    </rPh>
    <rPh sb="2" eb="3">
      <t>スイ</t>
    </rPh>
    <phoneticPr fontId="7"/>
  </si>
  <si>
    <t>*3 熱源水ポンプ（井水、河川水等用）が熱交換器を介する場合には、前後の両ポンプの合計値としてください。</t>
    <phoneticPr fontId="7"/>
  </si>
  <si>
    <t>*2 同じ型式で複数台ある場合は合計値を入力してください</t>
    <phoneticPr fontId="7"/>
  </si>
  <si>
    <t>鈴木</t>
    <rPh sb="0" eb="2">
      <t>スズキ</t>
    </rPh>
    <phoneticPr fontId="7"/>
  </si>
  <si>
    <t>主機補正値(仮)</t>
    <rPh sb="0" eb="2">
      <t>シュキ</t>
    </rPh>
    <rPh sb="2" eb="5">
      <t>ホセイチ</t>
    </rPh>
    <rPh sb="6" eb="7">
      <t>カリ</t>
    </rPh>
    <phoneticPr fontId="32"/>
  </si>
  <si>
    <t>2025/4/2：冷房設備がない場合の対策</t>
    <rPh sb="9" eb="11">
      <t>レイボウ</t>
    </rPh>
    <rPh sb="11" eb="13">
      <t>セツビ</t>
    </rPh>
    <rPh sb="16" eb="18">
      <t>バアイ</t>
    </rPh>
    <rPh sb="19" eb="21">
      <t>タイサク</t>
    </rPh>
    <phoneticPr fontId="32"/>
  </si>
  <si>
    <t>2025/4/2:バグ修正</t>
    <rPh sb="11" eb="13">
      <t>シュウセイ</t>
    </rPh>
    <phoneticPr fontId="32"/>
  </si>
  <si>
    <t>2025/4/2:変更</t>
    <rPh sb="9" eb="11">
      <t>ヘンコウ</t>
    </rPh>
    <phoneticPr fontId="32"/>
  </si>
  <si>
    <t>2025/4/2:バグ修正</t>
    <rPh sb="11" eb="13">
      <t>シュウセイ</t>
    </rPh>
    <phoneticPr fontId="32"/>
  </si>
  <si>
    <t>2025/4/2:係数変更</t>
    <rPh sb="9" eb="13">
      <t>ケイスウヘンコウ</t>
    </rPh>
    <phoneticPr fontId="32"/>
  </si>
  <si>
    <t>1.3</t>
    <phoneticPr fontId="7"/>
  </si>
  <si>
    <t>鈴木</t>
    <rPh sb="0" eb="2">
      <t>スズキ</t>
    </rPh>
    <phoneticPr fontId="7"/>
  </si>
  <si>
    <t>特定の条件で年間使用量が表示しない問題の修正、電力CO2排出係数0.434→0.438に変更</t>
    <rPh sb="0" eb="2">
      <t>トクテイ</t>
    </rPh>
    <rPh sb="3" eb="5">
      <t>ジョウケン</t>
    </rPh>
    <rPh sb="6" eb="11">
      <t>ネンカンシヨウリョウ</t>
    </rPh>
    <rPh sb="12" eb="14">
      <t>ヒョウジ</t>
    </rPh>
    <rPh sb="17" eb="19">
      <t>モンダイ</t>
    </rPh>
    <rPh sb="20" eb="22">
      <t>シュウセイ</t>
    </rPh>
    <rPh sb="23" eb="25">
      <t>デンリョク</t>
    </rPh>
    <rPh sb="28" eb="32">
      <t>ハイシュツケイスウ</t>
    </rPh>
    <rPh sb="44" eb="46">
      <t>ヘンコウ</t>
    </rPh>
    <phoneticPr fontId="7"/>
  </si>
  <si>
    <r>
      <t xml:space="preserve">熱源水ポンプモーター定格出力 </t>
    </r>
    <r>
      <rPr>
        <sz val="10"/>
        <color theme="1"/>
        <rFont val="メイリオ"/>
        <family val="3"/>
        <charset val="128"/>
      </rPr>
      <t>*2</t>
    </r>
    <rPh sb="0" eb="3">
      <t>ネツゲンスイ</t>
    </rPh>
    <phoneticPr fontId="7"/>
  </si>
  <si>
    <r>
      <rPr>
        <sz val="10"/>
        <color theme="1"/>
        <rFont val="メイリオ"/>
        <family val="3"/>
        <charset val="128"/>
      </rPr>
      <t>*2</t>
    </r>
    <r>
      <rPr>
        <sz val="8"/>
        <color theme="1"/>
        <rFont val="メイリオ"/>
        <family val="3"/>
        <charset val="128"/>
      </rPr>
      <t xml:space="preserve"> 熱源水ポンプ（井水、河川水等用）が熱交換器を介する場合には、前後の両ポンプの合計値としてください。水冷HPチラーでは冷房は冷却塔使用、暖房は井水熱源を想定しています。
　　井水熱源の熱源水ポンプ容量は一次、二次の合計値としてください。なお、河川水・地中熱等、季節変動のある熱源には対応していません。</t>
    </r>
    <rPh sb="3" eb="6">
      <t>ネツゲンスイ</t>
    </rPh>
    <rPh sb="10" eb="12">
      <t>イスイ</t>
    </rPh>
    <rPh sb="13" eb="16">
      <t>カセンスイ</t>
    </rPh>
    <rPh sb="16" eb="17">
      <t>トウ</t>
    </rPh>
    <rPh sb="17" eb="18">
      <t>ヨウ</t>
    </rPh>
    <rPh sb="20" eb="23">
      <t>ネツコウカン</t>
    </rPh>
    <rPh sb="23" eb="24">
      <t>キ</t>
    </rPh>
    <rPh sb="25" eb="26">
      <t>カイ</t>
    </rPh>
    <rPh sb="28" eb="30">
      <t>バアイ</t>
    </rPh>
    <rPh sb="33" eb="35">
      <t>ゼンゴ</t>
    </rPh>
    <rPh sb="36" eb="37">
      <t>リョウ</t>
    </rPh>
    <rPh sb="41" eb="43">
      <t>ゴウケイ</t>
    </rPh>
    <rPh sb="43" eb="44">
      <t>チ</t>
    </rPh>
    <rPh sb="52" eb="54">
      <t>スイレイ</t>
    </rPh>
    <rPh sb="61" eb="63">
      <t>レイボウ</t>
    </rPh>
    <rPh sb="64" eb="67">
      <t>レイキャクトウ</t>
    </rPh>
    <rPh sb="67" eb="69">
      <t>シヨウ</t>
    </rPh>
    <rPh sb="70" eb="72">
      <t>ダンボウ</t>
    </rPh>
    <rPh sb="73" eb="75">
      <t>イスイ</t>
    </rPh>
    <rPh sb="75" eb="77">
      <t>ネツゲン</t>
    </rPh>
    <rPh sb="78" eb="80">
      <t>ソウテイ</t>
    </rPh>
    <rPh sb="89" eb="91">
      <t>イスイ</t>
    </rPh>
    <rPh sb="91" eb="93">
      <t>ネツゲン</t>
    </rPh>
    <rPh sb="94" eb="97">
      <t>ネツゲンスイ</t>
    </rPh>
    <rPh sb="100" eb="102">
      <t>ヨウリョウ</t>
    </rPh>
    <rPh sb="103" eb="105">
      <t>イチジ</t>
    </rPh>
    <rPh sb="106" eb="108">
      <t>ニジ</t>
    </rPh>
    <rPh sb="109" eb="112">
      <t>ゴウケイチ</t>
    </rPh>
    <rPh sb="123" eb="126">
      <t>カセンスイ</t>
    </rPh>
    <rPh sb="127" eb="130">
      <t>チチュウネツ</t>
    </rPh>
    <rPh sb="130" eb="131">
      <t>トウ</t>
    </rPh>
    <rPh sb="132" eb="136">
      <t>キセツヘンドウ</t>
    </rPh>
    <rPh sb="139" eb="141">
      <t>ネツゲン</t>
    </rPh>
    <rPh sb="143" eb="145">
      <t>タイオウ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</si>
</sst>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0_ "/>
    <numFmt numFmtId="177" formatCode="0.00_ "/>
    <numFmt numFmtId="178" formatCode="0.0000_ "/>
    <numFmt numFmtId="179" formatCode="0.00000_ "/>
    <numFmt numFmtId="180" formatCode="0_ "/>
    <numFmt numFmtId="181" formatCode="0.00_);[Red]\(0.00\)"/>
    <numFmt numFmtId="182" formatCode="0.000_ "/>
    <numFmt numFmtId="183" formatCode="#,##0_);[Red]\(#,##0\)"/>
    <numFmt numFmtId="184" formatCode="0.0%"/>
    <numFmt numFmtId="185" formatCode="0_);[Red]\(0\)"/>
    <numFmt numFmtId="186" formatCode="0.0_);[Red]\(0.0\)"/>
    <numFmt numFmtId="187" formatCode="0.000_);[Red]\(0.000\)"/>
    <numFmt numFmtId="188" formatCode="0.000000"/>
    <numFmt numFmtId="189" formatCode="0.0"/>
    <numFmt numFmtId="190" formatCode="#,##0.0_);[Red]\(#,##0.0\)"/>
    <numFmt numFmtId="191" formatCode="0.0000"/>
    <numFmt numFmtId="192" formatCode="0.000"/>
    <numFmt numFmtId="193" formatCode="#,##0.00_);[Red]\(#,##0.00\)"/>
    <numFmt numFmtId="194" formatCode="#,##0.0;[Red]\-#,##0.0"/>
    <numFmt numFmtId="195" formatCode="#,##0.000;[Red]\-#,##0.000"/>
    <numFmt numFmtId="196" formatCode="#,###.0\ &quot;千m3&quot;"/>
    <numFmt numFmtId="197" formatCode="#\ &quot;kL&quot;"/>
    <numFmt numFmtId="198" formatCode="#\ &quot;ton&quot;"/>
    <numFmt numFmtId="199" formatCode="#\ &quot;千kWh&quot;"/>
    <numFmt numFmtId="200" formatCode="0.00000"/>
    <numFmt numFmtId="201" formatCode="yyyy/m/d;@"/>
    <numFmt numFmtId="202" formatCode="#,##0.00_ "/>
    <numFmt numFmtId="203" formatCode="#,##0_ "/>
    <numFmt numFmtId="204" formatCode="#,##0.0_ ;[Red]\-#,##0.0\ "/>
    <numFmt numFmtId="205" formatCode="#,##0.0_ "/>
  </numFmts>
  <fonts count="10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メイリオ"/>
      <family val="3"/>
      <charset val="128"/>
    </font>
    <font>
      <b/>
      <sz val="12"/>
      <color theme="1"/>
      <name val="メイリオ"/>
      <family val="3"/>
      <charset val="128"/>
    </font>
    <font>
      <b/>
      <sz val="14"/>
      <color theme="1"/>
      <name val="メイリオ"/>
      <family val="3"/>
      <charset val="128"/>
    </font>
    <font>
      <b/>
      <sz val="11"/>
      <color theme="1"/>
      <name val="メイリオ"/>
      <family val="3"/>
      <charset val="128"/>
    </font>
    <font>
      <sz val="9"/>
      <color theme="1"/>
      <name val="メイリオ"/>
      <family val="3"/>
      <charset val="128"/>
    </font>
    <font>
      <sz val="8"/>
      <color theme="1"/>
      <name val="メイリオ"/>
      <family val="3"/>
      <charset val="128"/>
    </font>
    <font>
      <b/>
      <sz val="11"/>
      <color rgb="FFFF0000"/>
      <name val="メイリオ"/>
      <family val="3"/>
      <charset val="128"/>
    </font>
    <font>
      <sz val="11"/>
      <color theme="1"/>
      <name val="Yu Gothic"/>
      <family val="2"/>
      <scheme val="minor"/>
    </font>
    <font>
      <sz val="11"/>
      <color rgb="FFFF0000"/>
      <name val="メイリオ"/>
      <family val="3"/>
      <charset val="128"/>
    </font>
    <font>
      <sz val="12"/>
      <color theme="1"/>
      <name val="メイリオ"/>
      <family val="3"/>
      <charset val="128"/>
    </font>
    <font>
      <sz val="11"/>
      <color theme="1"/>
      <name val="Yu Gothic"/>
      <family val="2"/>
      <charset val="128"/>
      <scheme val="minor"/>
    </font>
    <font>
      <sz val="10"/>
      <color theme="1"/>
      <name val="メイリオ"/>
      <family val="3"/>
      <charset val="128"/>
    </font>
    <font>
      <sz val="18"/>
      <color theme="1"/>
      <name val="メイリオ"/>
      <family val="3"/>
      <charset val="128"/>
    </font>
    <font>
      <vertAlign val="subscript"/>
      <sz val="11"/>
      <color theme="1"/>
      <name val="メイリオ"/>
      <family val="3"/>
      <charset val="128"/>
    </font>
    <font>
      <vertAlign val="subscript"/>
      <sz val="10"/>
      <color theme="1"/>
      <name val="メイリオ"/>
      <family val="3"/>
      <charset val="128"/>
    </font>
    <font>
      <sz val="10.5"/>
      <color theme="1"/>
      <name val="メイリオ"/>
      <family val="3"/>
      <charset val="128"/>
    </font>
    <font>
      <vertAlign val="subscript"/>
      <sz val="10.5"/>
      <color theme="1"/>
      <name val="メイリオ"/>
      <family val="3"/>
      <charset val="128"/>
    </font>
    <font>
      <b/>
      <sz val="9"/>
      <color theme="1"/>
      <name val="メイリオ"/>
      <family val="3"/>
      <charset val="128"/>
    </font>
    <font>
      <vertAlign val="subscript"/>
      <sz val="8"/>
      <color theme="1"/>
      <name val="メイリオ"/>
      <family val="3"/>
      <charset val="128"/>
    </font>
    <font>
      <u/>
      <sz val="10"/>
      <color theme="1"/>
      <name val="メイリオ"/>
      <family val="3"/>
      <charset val="128"/>
    </font>
    <font>
      <sz val="11"/>
      <color theme="0"/>
      <name val="メイリオ"/>
      <family val="3"/>
      <charset val="128"/>
    </font>
    <font>
      <sz val="11"/>
      <color theme="2" tint="-0.499984740745262"/>
      <name val="メイリオ"/>
      <family val="3"/>
      <charset val="128"/>
    </font>
    <font>
      <b/>
      <sz val="12"/>
      <color rgb="FFFF0000"/>
      <name val="メイリオ"/>
      <family val="3"/>
      <charset val="128"/>
    </font>
    <font>
      <b/>
      <sz val="10"/>
      <color theme="1"/>
      <name val="メイリオ"/>
      <family val="3"/>
      <charset val="128"/>
    </font>
    <font>
      <sz val="6"/>
      <name val="Yu Gothic"/>
      <family val="2"/>
      <charset val="128"/>
      <scheme val="minor"/>
    </font>
    <font>
      <b/>
      <sz val="11"/>
      <name val="メイリオ"/>
      <family val="3"/>
      <charset val="128"/>
    </font>
    <font>
      <sz val="8"/>
      <name val="メイリオ"/>
      <family val="3"/>
      <charset val="128"/>
    </font>
    <font>
      <sz val="9"/>
      <color theme="1"/>
      <name val="Yu Gothic"/>
      <family val="2"/>
      <scheme val="minor"/>
    </font>
    <font>
      <shadow/>
      <sz val="11"/>
      <color rgb="FF000000"/>
      <name val="BIZ UDPゴシック"/>
      <family val="3"/>
      <charset val="128"/>
    </font>
    <font>
      <sz val="12"/>
      <color theme="1"/>
      <name val="ＭＳ Ｐゴシック"/>
      <family val="3"/>
      <charset val="128"/>
    </font>
    <font>
      <sz val="12"/>
      <color theme="1"/>
      <name val="Arial"/>
      <family val="2"/>
    </font>
    <font>
      <vertAlign val="subscript"/>
      <sz val="12"/>
      <color theme="1"/>
      <name val="Arial"/>
      <family val="2"/>
    </font>
    <font>
      <sz val="11"/>
      <name val="メイリオ"/>
      <family val="3"/>
      <charset val="128"/>
    </font>
    <font>
      <b/>
      <sz val="11"/>
      <color theme="2"/>
      <name val="メイリオ"/>
      <family val="3"/>
      <charset val="128"/>
    </font>
    <font>
      <sz val="9"/>
      <color rgb="FFFF0000"/>
      <name val="メイリオ"/>
      <family val="3"/>
      <charset val="128"/>
    </font>
    <font>
      <b/>
      <sz val="9"/>
      <color rgb="FFFF0000"/>
      <name val="メイリオ"/>
      <family val="3"/>
      <charset val="128"/>
    </font>
    <font>
      <sz val="8"/>
      <color rgb="FFFF0000"/>
      <name val="メイリオ"/>
      <family val="3"/>
      <charset val="128"/>
    </font>
    <font>
      <sz val="10"/>
      <color theme="1"/>
      <name val="Yu Gothic"/>
      <family val="2"/>
      <scheme val="minor"/>
    </font>
    <font>
      <b/>
      <sz val="9"/>
      <name val="メイリオ"/>
      <family val="3"/>
      <charset val="128"/>
    </font>
    <font>
      <sz val="8"/>
      <color rgb="FFC00000"/>
      <name val="メイリオ"/>
      <family val="3"/>
      <charset val="128"/>
    </font>
    <font>
      <b/>
      <sz val="11"/>
      <color rgb="FFFF0000"/>
      <name val="Yu Gothic"/>
      <family val="2"/>
      <scheme val="minor"/>
    </font>
    <font>
      <sz val="8"/>
      <color rgb="FFC00000"/>
      <name val="Yu Gothic"/>
      <family val="2"/>
      <scheme val="minor"/>
    </font>
    <font>
      <sz val="11"/>
      <color theme="6" tint="-0.249977111117893"/>
      <name val="メイリオ"/>
      <family val="3"/>
      <charset val="128"/>
    </font>
    <font>
      <b/>
      <sz val="11"/>
      <color theme="5"/>
      <name val="メイリオ"/>
      <family val="3"/>
      <charset val="128"/>
    </font>
    <font>
      <b/>
      <sz val="9"/>
      <color theme="5"/>
      <name val="メイリオ"/>
      <family val="3"/>
      <charset val="128"/>
    </font>
    <font>
      <sz val="11"/>
      <color theme="5"/>
      <name val="メイリオ"/>
      <family val="3"/>
      <charset val="128"/>
    </font>
    <font>
      <b/>
      <sz val="10"/>
      <color theme="5"/>
      <name val="メイリオ"/>
      <family val="3"/>
      <charset val="128"/>
    </font>
    <font>
      <b/>
      <sz val="8"/>
      <color theme="1"/>
      <name val="メイリオ"/>
      <family val="3"/>
      <charset val="128"/>
    </font>
    <font>
      <b/>
      <sz val="9"/>
      <color rgb="FFC00000"/>
      <name val="メイリオ"/>
      <family val="3"/>
      <charset val="128"/>
    </font>
    <font>
      <vertAlign val="subscript"/>
      <sz val="9"/>
      <color theme="1"/>
      <name val="メイリオ"/>
      <family val="3"/>
      <charset val="128"/>
    </font>
    <font>
      <b/>
      <vertAlign val="subscript"/>
      <sz val="9"/>
      <color theme="1"/>
      <name val="メイリオ"/>
      <family val="3"/>
      <charset val="128"/>
    </font>
    <font>
      <sz val="10"/>
      <color theme="5"/>
      <name val="メイリオ"/>
      <family val="3"/>
      <charset val="128"/>
    </font>
    <font>
      <b/>
      <sz val="10"/>
      <color theme="6" tint="0.59999389629810485"/>
      <name val="メイリオ"/>
      <family val="3"/>
      <charset val="128"/>
    </font>
    <font>
      <b/>
      <sz val="10"/>
      <name val="メイリオ"/>
      <family val="3"/>
      <charset val="128"/>
    </font>
    <font>
      <sz val="10"/>
      <name val="メイリオ"/>
      <family val="3"/>
      <charset val="128"/>
    </font>
    <font>
      <sz val="11"/>
      <color rgb="FF0070C0"/>
      <name val="メイリオ"/>
      <family val="3"/>
      <charset val="128"/>
    </font>
    <font>
      <sz val="11"/>
      <color theme="6" tint="0.39997558519241921"/>
      <name val="メイリオ"/>
      <family val="3"/>
      <charset val="128"/>
    </font>
    <font>
      <sz val="11"/>
      <color theme="6" tint="0.39997558519241921"/>
      <name val="Yu Gothic"/>
      <family val="2"/>
      <scheme val="minor"/>
    </font>
    <font>
      <sz val="14"/>
      <color theme="1"/>
      <name val="メイリオ"/>
      <family val="3"/>
      <charset val="128"/>
    </font>
    <font>
      <sz val="10"/>
      <color theme="1"/>
      <name val="Yu Gothic"/>
      <family val="2"/>
      <charset val="128"/>
      <scheme val="minor"/>
    </font>
    <font>
      <sz val="10"/>
      <color theme="1"/>
      <name val="Yu Gothic"/>
      <family val="3"/>
      <charset val="128"/>
      <scheme val="minor"/>
    </font>
    <font>
      <sz val="11"/>
      <color rgb="FF0070C0"/>
      <name val="Yu Gothic"/>
      <family val="2"/>
      <charset val="128"/>
      <scheme val="minor"/>
    </font>
    <font>
      <sz val="11"/>
      <color rgb="FFFF0000"/>
      <name val="Yu Gothic"/>
      <family val="2"/>
      <charset val="128"/>
      <scheme val="minor"/>
    </font>
    <font>
      <sz val="10.5"/>
      <color theme="1"/>
      <name val="Yu Gothic"/>
      <family val="3"/>
      <charset val="128"/>
      <scheme val="minor"/>
    </font>
    <font>
      <sz val="9"/>
      <color theme="1"/>
      <name val="Yu Gothic"/>
      <family val="2"/>
      <charset val="128"/>
      <scheme val="minor"/>
    </font>
    <font>
      <sz val="9"/>
      <color theme="1"/>
      <name val="Yu Gothic"/>
      <family val="3"/>
      <charset val="128"/>
      <scheme val="minor"/>
    </font>
    <font>
      <vertAlign val="subscript"/>
      <sz val="9"/>
      <color theme="1"/>
      <name val="Yu Gothic"/>
      <family val="3"/>
      <charset val="128"/>
      <scheme val="minor"/>
    </font>
    <font>
      <b/>
      <sz val="10"/>
      <color rgb="FFC00000"/>
      <name val="メイリオ"/>
      <family val="3"/>
      <charset val="128"/>
    </font>
    <font>
      <b/>
      <sz val="8"/>
      <color rgb="FFFF0000"/>
      <name val="メイリオ"/>
      <family val="3"/>
      <charset val="128"/>
    </font>
    <font>
      <b/>
      <sz val="11"/>
      <color rgb="FFC00000"/>
      <name val="メイリオ"/>
      <family val="3"/>
      <charset val="128"/>
    </font>
    <font>
      <b/>
      <sz val="10"/>
      <color rgb="FFFF0000"/>
      <name val="メイリオ"/>
      <family val="3"/>
      <charset val="128"/>
    </font>
    <font>
      <sz val="11"/>
      <color theme="1"/>
      <name val="Yu Gothic"/>
      <family val="3"/>
      <charset val="128"/>
      <scheme val="minor"/>
    </font>
    <font>
      <sz val="12"/>
      <color theme="1"/>
      <name val="Yu Gothic"/>
      <family val="3"/>
      <charset val="128"/>
    </font>
    <font>
      <b/>
      <sz val="14"/>
      <color theme="1"/>
      <name val="ＭＳ Ｐゴシック"/>
      <family val="3"/>
      <charset val="128"/>
    </font>
    <font>
      <sz val="11"/>
      <color theme="7" tint="0.79998168889431442"/>
      <name val="メイリオ"/>
      <family val="3"/>
      <charset val="128"/>
    </font>
    <font>
      <sz val="11"/>
      <color theme="7" tint="0.79998168889431442"/>
      <name val="Yu Gothic"/>
      <family val="2"/>
      <scheme val="minor"/>
    </font>
    <font>
      <b/>
      <sz val="16"/>
      <color theme="1"/>
      <name val="メイリオ"/>
      <family val="3"/>
      <charset val="128"/>
    </font>
    <font>
      <sz val="11"/>
      <color theme="2" tint="-0.249977111117893"/>
      <name val="メイリオ"/>
      <family val="3"/>
      <charset val="128"/>
    </font>
    <font>
      <sz val="10"/>
      <color theme="2" tint="-0.249977111117893"/>
      <name val="メイリオ"/>
      <family val="3"/>
      <charset val="128"/>
    </font>
    <font>
      <sz val="9"/>
      <color theme="2" tint="-0.249977111117893"/>
      <name val="メイリオ"/>
      <family val="3"/>
      <charset val="128"/>
    </font>
    <font>
      <b/>
      <sz val="10"/>
      <color theme="2" tint="-0.249977111117893"/>
      <name val="メイリオ"/>
      <family val="3"/>
      <charset val="128"/>
    </font>
    <font>
      <sz val="8"/>
      <color theme="2" tint="-0.249977111117893"/>
      <name val="メイリオ"/>
      <family val="3"/>
      <charset val="128"/>
    </font>
    <font>
      <b/>
      <sz val="11"/>
      <color theme="2" tint="-0.249977111117893"/>
      <name val="メイリオ"/>
      <family val="3"/>
      <charset val="128"/>
    </font>
    <font>
      <b/>
      <sz val="11"/>
      <color theme="6" tint="0.39997558519241921"/>
      <name val="メイリオ"/>
      <family val="3"/>
      <charset val="128"/>
    </font>
    <font>
      <sz val="8"/>
      <color theme="6" tint="0.39997558519241921"/>
      <name val="メイリオ"/>
      <family val="3"/>
      <charset val="128"/>
    </font>
    <font>
      <sz val="9"/>
      <color theme="6" tint="0.39997558519241921"/>
      <name val="メイリオ"/>
      <family val="3"/>
      <charset val="128"/>
    </font>
    <font>
      <sz val="10"/>
      <color theme="6" tint="0.39997558519241921"/>
      <name val="メイリオ"/>
      <family val="3"/>
      <charset val="128"/>
    </font>
    <font>
      <sz val="11"/>
      <color theme="6" tint="0.39997558519241921"/>
      <name val="Yu Gothic"/>
      <family val="2"/>
      <charset val="128"/>
      <scheme val="minor"/>
    </font>
    <font>
      <b/>
      <sz val="11"/>
      <color theme="6" tint="0.59999389629810485"/>
      <name val="メイリオ"/>
      <family val="3"/>
      <charset val="128"/>
    </font>
    <font>
      <sz val="11"/>
      <color theme="6" tint="0.59999389629810485"/>
      <name val="メイリオ"/>
      <family val="3"/>
      <charset val="128"/>
    </font>
    <font>
      <sz val="11"/>
      <color theme="6" tint="0.59999389629810485"/>
      <name val="Yu Gothic"/>
      <family val="2"/>
      <scheme val="minor"/>
    </font>
    <font>
      <sz val="10"/>
      <color theme="6" tint="0.59999389629810485"/>
      <name val="メイリオ"/>
      <family val="3"/>
      <charset val="128"/>
    </font>
    <font>
      <sz val="9"/>
      <color theme="6" tint="0.59999389629810485"/>
      <name val="メイリオ"/>
      <family val="3"/>
      <charset val="128"/>
    </font>
    <font>
      <sz val="9"/>
      <color theme="6" tint="0.59999389629810485"/>
      <name val="Yu Gothic"/>
      <family val="2"/>
      <scheme val="minor"/>
    </font>
    <font>
      <sz val="10"/>
      <color rgb="FFFF0000"/>
      <name val="メイリオ"/>
      <family val="3"/>
      <charset val="128"/>
    </font>
    <font>
      <sz val="6"/>
      <color rgb="FFFF0000"/>
      <name val="Yu Gothic"/>
      <family val="3"/>
      <charset val="128"/>
      <scheme val="minor"/>
    </font>
    <font>
      <sz val="11"/>
      <color rgb="FFFF0000"/>
      <name val="Yu Gothic"/>
      <family val="2"/>
      <scheme val="minor"/>
    </font>
  </fonts>
  <fills count="29">
    <fill>
      <patternFill patternType="none"/>
    </fill>
    <fill>
      <patternFill patternType="gray125"/>
    </fill>
    <fill>
      <patternFill patternType="solid">
        <fgColor theme="5"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D2E6B4"/>
        <bgColor indexed="64"/>
      </patternFill>
    </fill>
    <fill>
      <patternFill patternType="solid">
        <fgColor rgb="FFD2E6FA"/>
        <bgColor indexed="64"/>
      </patternFill>
    </fill>
    <fill>
      <patternFill patternType="solid">
        <fgColor rgb="FFC00000"/>
        <bgColor indexed="64"/>
      </patternFill>
    </fill>
    <fill>
      <patternFill patternType="solid">
        <fgColor theme="9" tint="0.39997558519241921"/>
        <bgColor indexed="64"/>
      </patternFill>
    </fill>
    <fill>
      <patternFill patternType="solid">
        <fgColor theme="6"/>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bgColor indexed="64"/>
      </patternFill>
    </fill>
    <fill>
      <patternFill patternType="solid">
        <fgColor rgb="FFFFFF00"/>
        <bgColor indexed="64"/>
      </patternFill>
    </fill>
    <fill>
      <patternFill patternType="solid">
        <fgColor theme="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6" tint="0.39997558519241921"/>
        <bgColor indexed="64"/>
      </patternFill>
    </fill>
  </fills>
  <borders count="15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theme="6" tint="0.59999389629810485"/>
      </left>
      <right style="thin">
        <color indexed="64"/>
      </right>
      <top style="thin">
        <color theme="6" tint="0.59999389629810485"/>
      </top>
      <bottom style="thin">
        <color theme="6" tint="0.59999389629810485"/>
      </bottom>
      <diagonal/>
    </border>
    <border>
      <left style="thin">
        <color theme="6" tint="0.59999389629810485"/>
      </left>
      <right style="thin">
        <color indexed="64"/>
      </right>
      <top/>
      <bottom style="thin">
        <color theme="6" tint="0.59999389629810485"/>
      </bottom>
      <diagonal/>
    </border>
    <border>
      <left/>
      <right style="thin">
        <color theme="6" tint="0.59999389629810485"/>
      </right>
      <top style="thin">
        <color theme="6" tint="0.59999389629810485"/>
      </top>
      <bottom style="thin">
        <color theme="6" tint="0.59999389629810485"/>
      </bottom>
      <diagonal/>
    </border>
    <border>
      <left/>
      <right style="thin">
        <color theme="6" tint="0.59999389629810485"/>
      </right>
      <top/>
      <bottom style="thin">
        <color theme="6" tint="0.59999389629810485"/>
      </bottom>
      <diagonal/>
    </border>
    <border>
      <left/>
      <right style="thin">
        <color indexed="64"/>
      </right>
      <top/>
      <bottom style="medium">
        <color indexed="64"/>
      </bottom>
      <diagonal/>
    </border>
    <border>
      <left style="thin">
        <color indexed="64"/>
      </left>
      <right style="thin">
        <color theme="6" tint="0.59999389629810485"/>
      </right>
      <top style="thin">
        <color theme="6" tint="0.59999389629810485"/>
      </top>
      <bottom style="medium">
        <color indexed="64"/>
      </bottom>
      <diagonal/>
    </border>
    <border>
      <left style="thin">
        <color theme="6" tint="0.59999389629810485"/>
      </left>
      <right style="thin">
        <color indexed="64"/>
      </right>
      <top style="thin">
        <color theme="6" tint="0.59999389629810485"/>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theme="6" tint="0.59996337778862885"/>
      </top>
      <bottom style="thin">
        <color theme="6" tint="0.59996337778862885"/>
      </bottom>
      <diagonal/>
    </border>
    <border>
      <left/>
      <right/>
      <top style="thin">
        <color theme="6" tint="0.59996337778862885"/>
      </top>
      <bottom style="thin">
        <color theme="6" tint="0.59996337778862885"/>
      </bottom>
      <diagonal/>
    </border>
    <border>
      <left/>
      <right style="thin">
        <color theme="6" tint="0.59999389629810485"/>
      </right>
      <top style="thin">
        <color theme="6" tint="0.59999389629810485"/>
      </top>
      <bottom style="medium">
        <color indexed="64"/>
      </bottom>
      <diagonal/>
    </border>
    <border>
      <left style="thin">
        <color indexed="64"/>
      </left>
      <right/>
      <top/>
      <bottom style="medium">
        <color indexed="64"/>
      </bottom>
      <diagonal/>
    </border>
    <border>
      <left/>
      <right/>
      <top/>
      <bottom style="thin">
        <color theme="6" tint="0.59996337778862885"/>
      </bottom>
      <diagonal/>
    </border>
    <border>
      <left/>
      <right style="thin">
        <color indexed="64"/>
      </right>
      <top/>
      <bottom style="thin">
        <color theme="6" tint="0.59996337778862885"/>
      </bottom>
      <diagonal/>
    </border>
    <border>
      <left style="dashed">
        <color indexed="64"/>
      </left>
      <right style="thin">
        <color indexed="64"/>
      </right>
      <top/>
      <bottom style="thin">
        <color indexed="64"/>
      </bottom>
      <diagonal/>
    </border>
    <border>
      <left style="thin">
        <color theme="6" tint="0.59999389629810485"/>
      </left>
      <right style="thin">
        <color indexed="64"/>
      </right>
      <top style="thin">
        <color theme="6" tint="0.59999389629810485"/>
      </top>
      <bottom style="thin">
        <color theme="6" tint="0.59996337778862885"/>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theme="6" tint="0.59999389629810485"/>
      </bottom>
      <diagonal/>
    </border>
    <border>
      <left/>
      <right style="thin">
        <color indexed="64"/>
      </right>
      <top style="medium">
        <color indexed="64"/>
      </top>
      <bottom style="thin">
        <color theme="6" tint="0.59999389629810485"/>
      </bottom>
      <diagonal/>
    </border>
    <border>
      <left style="thin">
        <color indexed="64"/>
      </left>
      <right/>
      <top style="thin">
        <color theme="6" tint="0.59999389629810485"/>
      </top>
      <bottom style="thin">
        <color theme="6" tint="0.59999389629810485"/>
      </bottom>
      <diagonal/>
    </border>
    <border>
      <left/>
      <right style="thin">
        <color indexed="64"/>
      </right>
      <top style="thin">
        <color theme="6" tint="0.59999389629810485"/>
      </top>
      <bottom style="thin">
        <color theme="6" tint="0.59999389629810485"/>
      </bottom>
      <diagonal/>
    </border>
    <border>
      <left style="thin">
        <color indexed="64"/>
      </left>
      <right/>
      <top style="thin">
        <color theme="6" tint="0.59999389629810485"/>
      </top>
      <bottom style="medium">
        <color indexed="64"/>
      </bottom>
      <diagonal/>
    </border>
    <border>
      <left/>
      <right style="thin">
        <color indexed="64"/>
      </right>
      <top style="thin">
        <color theme="6" tint="0.59999389629810485"/>
      </top>
      <bottom style="medium">
        <color indexed="64"/>
      </bottom>
      <diagonal/>
    </border>
    <border>
      <left style="thin">
        <color theme="6" tint="0.59999389629810485"/>
      </left>
      <right style="thin">
        <color indexed="64"/>
      </right>
      <top style="thin">
        <color theme="6" tint="0.59999389629810485"/>
      </top>
      <bottom/>
      <diagonal/>
    </border>
    <border>
      <left/>
      <right style="thin">
        <color theme="6" tint="0.59999389629810485"/>
      </right>
      <top style="thin">
        <color theme="6" tint="0.59999389629810485"/>
      </top>
      <bottom/>
      <diagonal/>
    </border>
    <border>
      <left style="thin">
        <color theme="6" tint="0.59999389629810485"/>
      </left>
      <right style="thin">
        <color indexed="64"/>
      </right>
      <top style="thin">
        <color theme="6" tint="0.59996337778862885"/>
      </top>
      <bottom style="thin">
        <color theme="6" tint="0.59999389629810485"/>
      </bottom>
      <diagonal/>
    </border>
    <border>
      <left style="thin">
        <color theme="6" tint="0.59999389629810485"/>
      </left>
      <right style="thin">
        <color indexed="64"/>
      </right>
      <top style="thin">
        <color theme="6" tint="0.59996337778862885"/>
      </top>
      <bottom style="thin">
        <color theme="6" tint="0.59996337778862885"/>
      </bottom>
      <diagonal/>
    </border>
    <border>
      <left/>
      <right style="thin">
        <color indexed="64"/>
      </right>
      <top style="thin">
        <color theme="6" tint="0.59996337778862885"/>
      </top>
      <bottom style="medium">
        <color indexed="64"/>
      </bottom>
      <diagonal/>
    </border>
    <border>
      <left style="thin">
        <color indexed="64"/>
      </left>
      <right style="thin">
        <color theme="6" tint="0.59999389629810485"/>
      </right>
      <top/>
      <bottom style="medium">
        <color indexed="64"/>
      </bottom>
      <diagonal/>
    </border>
    <border>
      <left style="thin">
        <color theme="6" tint="0.59999389629810485"/>
      </left>
      <right style="thin">
        <color indexed="64"/>
      </right>
      <top/>
      <bottom style="medium">
        <color indexed="64"/>
      </bottom>
      <diagonal/>
    </border>
    <border>
      <left style="medium">
        <color indexed="64"/>
      </left>
      <right style="medium">
        <color indexed="64"/>
      </right>
      <top style="medium">
        <color indexed="64"/>
      </top>
      <bottom style="thin">
        <color theme="7" tint="-0.499984740745262"/>
      </bottom>
      <diagonal/>
    </border>
    <border>
      <left style="medium">
        <color indexed="64"/>
      </left>
      <right style="medium">
        <color indexed="64"/>
      </right>
      <top style="thin">
        <color theme="7" tint="-0.499984740745262"/>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theme="6" tint="0.59999389629810485"/>
      </right>
      <top style="thin">
        <color theme="6" tint="0.59996337778862885"/>
      </top>
      <bottom style="thin">
        <color theme="6" tint="0.59999389629810485"/>
      </bottom>
      <diagonal/>
    </border>
    <border>
      <left/>
      <right style="thin">
        <color theme="6" tint="0.59999389629810485"/>
      </right>
      <top style="thin">
        <color theme="6" tint="0.59999389629810485"/>
      </top>
      <bottom style="thin">
        <color theme="6" tint="0.59996337778862885"/>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theme="6" tint="0.39994506668294322"/>
      </top>
      <bottom style="thin">
        <color theme="6" tint="0.39994506668294322"/>
      </bottom>
      <diagonal/>
    </border>
    <border>
      <left style="medium">
        <color indexed="64"/>
      </left>
      <right style="thin">
        <color indexed="64"/>
      </right>
      <top style="medium">
        <color indexed="64"/>
      </top>
      <bottom style="thin">
        <color indexed="64"/>
      </bottom>
      <diagonal/>
    </border>
    <border>
      <left/>
      <right style="thin">
        <color theme="6" tint="0.59999389629810485"/>
      </right>
      <top style="thin">
        <color theme="6" tint="0.59996337778862885"/>
      </top>
      <bottom style="thin">
        <color theme="6" tint="0.59996337778862885"/>
      </bottom>
      <diagonal/>
    </border>
    <border>
      <left/>
      <right/>
      <top style="thin">
        <color theme="6" tint="0.39994506668294322"/>
      </top>
      <bottom style="thin">
        <color theme="6" tint="0.39994506668294322"/>
      </bottom>
      <diagonal/>
    </border>
    <border>
      <left/>
      <right/>
      <top style="thin">
        <color theme="6" tint="0.59996337778862885"/>
      </top>
      <bottom style="medium">
        <color indexed="64"/>
      </bottom>
      <diagonal/>
    </border>
    <border>
      <left/>
      <right/>
      <top style="medium">
        <color indexed="64"/>
      </top>
      <bottom style="thin">
        <color theme="6" tint="0.59999389629810485"/>
      </bottom>
      <diagonal/>
    </border>
    <border>
      <left/>
      <right/>
      <top style="thin">
        <color theme="6" tint="0.59999389629810485"/>
      </top>
      <bottom style="thin">
        <color theme="6" tint="0.59999389629810485"/>
      </bottom>
      <diagonal/>
    </border>
    <border>
      <left/>
      <right/>
      <top style="thin">
        <color theme="6" tint="0.59999389629810485"/>
      </top>
      <bottom style="medium">
        <color indexed="64"/>
      </bottom>
      <diagonal/>
    </border>
    <border>
      <left/>
      <right style="thin">
        <color theme="6" tint="0.59999389629810485"/>
      </right>
      <top/>
      <bottom/>
      <diagonal/>
    </border>
    <border>
      <left style="thin">
        <color theme="6" tint="0.59999389629810485"/>
      </left>
      <right style="thin">
        <color indexed="64"/>
      </right>
      <top/>
      <bottom/>
      <diagonal/>
    </border>
    <border>
      <left style="thin">
        <color theme="6" tint="0.59999389629810485"/>
      </left>
      <right style="thin">
        <color indexed="64"/>
      </right>
      <top style="thin">
        <color theme="6" tint="0.39994506668294322"/>
      </top>
      <bottom style="thin">
        <color theme="6" tint="0.39994506668294322"/>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theme="6" tint="0.59999389629810485"/>
      </right>
      <top style="thin">
        <color theme="6" tint="0.59999389629810485"/>
      </top>
      <bottom style="thin">
        <color theme="6" tint="0.39994506668294322"/>
      </bottom>
      <diagonal/>
    </border>
    <border>
      <left style="thin">
        <color theme="6" tint="0.59999389629810485"/>
      </left>
      <right style="thin">
        <color indexed="64"/>
      </right>
      <top style="thin">
        <color theme="6" tint="0.59999389629810485"/>
      </top>
      <bottom style="thin">
        <color theme="6" tint="0.39994506668294322"/>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diagonalUp="1">
      <left style="medium">
        <color indexed="64"/>
      </left>
      <right style="medium">
        <color indexed="64"/>
      </right>
      <top/>
      <bottom/>
      <diagonal style="thin">
        <color indexed="64"/>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medium">
        <color indexed="64"/>
      </right>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top style="thin">
        <color theme="6" tint="0.39994506668294322"/>
      </top>
      <bottom style="medium">
        <color indexed="64"/>
      </bottom>
      <diagonal/>
    </border>
    <border>
      <left/>
      <right style="thin">
        <color indexed="64"/>
      </right>
      <top style="thin">
        <color theme="6" tint="0.39994506668294322"/>
      </top>
      <bottom style="medium">
        <color indexed="64"/>
      </bottom>
      <diagonal/>
    </border>
    <border>
      <left/>
      <right/>
      <top style="thin">
        <color theme="6" tint="0.39994506668294322"/>
      </top>
      <bottom style="medium">
        <color indexed="64"/>
      </bottom>
      <diagonal/>
    </border>
    <border>
      <left style="thin">
        <color indexed="64"/>
      </left>
      <right style="thin">
        <color theme="6" tint="0.59999389629810485"/>
      </right>
      <top style="thin">
        <color theme="6" tint="0.39994506668294322"/>
      </top>
      <bottom style="medium">
        <color indexed="64"/>
      </bottom>
      <diagonal/>
    </border>
    <border>
      <left style="thin">
        <color theme="6" tint="0.59999389629810485"/>
      </left>
      <right style="thin">
        <color indexed="64"/>
      </right>
      <top style="thin">
        <color theme="6" tint="0.39994506668294322"/>
      </top>
      <bottom style="medium">
        <color indexed="64"/>
      </bottom>
      <diagonal/>
    </border>
    <border>
      <left style="medium">
        <color theme="5"/>
      </left>
      <right style="medium">
        <color theme="5"/>
      </right>
      <top style="medium">
        <color theme="5"/>
      </top>
      <bottom style="medium">
        <color theme="5"/>
      </bottom>
      <diagonal/>
    </border>
    <border>
      <left style="thin">
        <color indexed="64"/>
      </left>
      <right/>
      <top style="medium">
        <color indexed="64"/>
      </top>
      <bottom style="thin">
        <color theme="6" tint="0.39994506668294322"/>
      </bottom>
      <diagonal/>
    </border>
    <border>
      <left/>
      <right/>
      <top style="medium">
        <color indexed="64"/>
      </top>
      <bottom style="thin">
        <color theme="6" tint="0.39994506668294322"/>
      </bottom>
      <diagonal/>
    </border>
    <border>
      <left/>
      <right style="thin">
        <color theme="6" tint="0.59999389629810485"/>
      </right>
      <top style="thin">
        <color theme="6" tint="0.39994506668294322"/>
      </top>
      <bottom style="thin">
        <color theme="6" tint="0.39994506668294322"/>
      </bottom>
      <diagonal/>
    </border>
    <border>
      <left style="thin">
        <color indexed="64"/>
      </left>
      <right/>
      <top style="thin">
        <color theme="6" tint="0.39994506668294322"/>
      </top>
      <bottom style="thin">
        <color theme="6" tint="0.39994506668294322"/>
      </bottom>
      <diagonal/>
    </border>
    <border>
      <left style="thin">
        <color indexed="64"/>
      </left>
      <right/>
      <top style="thin">
        <color theme="6" tint="0.59996337778862885"/>
      </top>
      <bottom style="medium">
        <color indexed="64"/>
      </bottom>
      <diagonal/>
    </border>
    <border>
      <left/>
      <right style="thin">
        <color indexed="64"/>
      </right>
      <top style="medium">
        <color indexed="64"/>
      </top>
      <bottom style="thin">
        <color indexed="64"/>
      </bottom>
      <diagonal/>
    </border>
    <border>
      <left style="thick">
        <color theme="5"/>
      </left>
      <right style="thick">
        <color theme="5"/>
      </right>
      <top style="thick">
        <color theme="5"/>
      </top>
      <bottom/>
      <diagonal/>
    </border>
    <border>
      <left style="thick">
        <color theme="5"/>
      </left>
      <right style="thick">
        <color theme="5"/>
      </right>
      <top style="thin">
        <color indexed="64"/>
      </top>
      <bottom style="thin">
        <color indexed="64"/>
      </bottom>
      <diagonal/>
    </border>
    <border>
      <left style="thick">
        <color theme="5"/>
      </left>
      <right style="thick">
        <color theme="5"/>
      </right>
      <top style="thin">
        <color indexed="64"/>
      </top>
      <bottom style="thick">
        <color theme="5"/>
      </bottom>
      <diagonal/>
    </border>
    <border>
      <left style="thick">
        <color theme="5"/>
      </left>
      <right style="thick">
        <color theme="5"/>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theme="6" tint="0.39994506668294322"/>
      </bottom>
      <diagonal/>
    </border>
    <border>
      <left style="thin">
        <color indexed="64"/>
      </left>
      <right/>
      <top style="thin">
        <color theme="6" tint="0.59996337778862885"/>
      </top>
      <bottom style="thin">
        <color theme="6" tint="0.59999389629810485"/>
      </bottom>
      <diagonal/>
    </border>
    <border>
      <left/>
      <right style="thin">
        <color indexed="64"/>
      </right>
      <top style="thin">
        <color theme="6" tint="0.59996337778862885"/>
      </top>
      <bottom style="thin">
        <color theme="6" tint="0.59999389629810485"/>
      </bottom>
      <diagonal/>
    </border>
    <border>
      <left style="thin">
        <color indexed="64"/>
      </left>
      <right/>
      <top style="thin">
        <color theme="6" tint="0.59999389629810485"/>
      </top>
      <bottom style="thin">
        <color theme="6" tint="0.59996337778862885"/>
      </bottom>
      <diagonal/>
    </border>
    <border>
      <left/>
      <right style="thin">
        <color indexed="64"/>
      </right>
      <top style="thin">
        <color theme="6" tint="0.59999389629810485"/>
      </top>
      <bottom style="thin">
        <color theme="6" tint="0.59996337778862885"/>
      </bottom>
      <diagonal/>
    </border>
    <border>
      <left style="thin">
        <color indexed="64"/>
      </left>
      <right style="thin">
        <color theme="6" tint="0.59999389629810485"/>
      </right>
      <top style="medium">
        <color indexed="64"/>
      </top>
      <bottom style="thin">
        <color theme="6" tint="0.59999389629810485"/>
      </bottom>
      <diagonal/>
    </border>
    <border>
      <left style="thin">
        <color theme="6" tint="0.59999389629810485"/>
      </left>
      <right style="thin">
        <color indexed="64"/>
      </right>
      <top style="medium">
        <color indexed="64"/>
      </top>
      <bottom style="thin">
        <color theme="6" tint="0.59999389629810485"/>
      </bottom>
      <diagonal/>
    </border>
    <border>
      <left style="thin">
        <color indexed="64"/>
      </left>
      <right style="thin">
        <color theme="6" tint="0.59999389629810485"/>
      </right>
      <top style="thin">
        <color theme="6" tint="0.59999389629810485"/>
      </top>
      <bottom style="thin">
        <color theme="6" tint="0.59999389629810485"/>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top style="medium">
        <color theme="6" tint="0.59996337778862885"/>
      </top>
      <bottom style="medium">
        <color theme="6" tint="0.59996337778862885"/>
      </bottom>
      <diagonal/>
    </border>
    <border>
      <left style="medium">
        <color theme="6" tint="0.59996337778862885"/>
      </left>
      <right style="medium">
        <color theme="6" tint="0.59996337778862885"/>
      </right>
      <top style="medium">
        <color theme="6" tint="0.59996337778862885"/>
      </top>
      <bottom style="medium">
        <color theme="6" tint="0.59996337778862885"/>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s>
  <cellStyleXfs count="16">
    <xf numFmtId="0" fontId="0" fillId="0" borderId="0"/>
    <xf numFmtId="38" fontId="15" fillId="0" borderId="0" applyFont="0" applyFill="0" applyBorder="0" applyAlignment="0" applyProtection="0">
      <alignment vertical="center"/>
    </xf>
    <xf numFmtId="0" fontId="18" fillId="0" borderId="0">
      <alignment vertical="center"/>
    </xf>
    <xf numFmtId="0" fontId="6" fillId="0" borderId="0">
      <alignment vertical="center"/>
    </xf>
    <xf numFmtId="0" fontId="15" fillId="0" borderId="0"/>
    <xf numFmtId="9" fontId="15"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8">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xf>
    <xf numFmtId="0" fontId="8" fillId="0" borderId="2" xfId="0" applyFont="1" applyBorder="1"/>
    <xf numFmtId="0" fontId="8" fillId="0" borderId="2" xfId="0" applyFont="1" applyBorder="1" applyAlignment="1">
      <alignment horizontal="right"/>
    </xf>
    <xf numFmtId="0" fontId="8" fillId="0" borderId="4" xfId="0" applyFont="1" applyBorder="1" applyAlignment="1">
      <alignment horizontal="right"/>
    </xf>
    <xf numFmtId="0" fontId="8" fillId="0" borderId="0" xfId="0" applyFont="1" applyAlignment="1">
      <alignment horizontal="center" vertical="center"/>
    </xf>
    <xf numFmtId="0" fontId="8" fillId="0" borderId="6" xfId="0" applyFont="1" applyBorder="1"/>
    <xf numFmtId="0" fontId="16" fillId="0" borderId="0" xfId="0" applyFont="1"/>
    <xf numFmtId="0" fontId="8" fillId="0" borderId="0" xfId="0" applyFont="1" applyAlignment="1">
      <alignment horizontal="right"/>
    </xf>
    <xf numFmtId="0" fontId="8" fillId="0" borderId="19" xfId="0" applyFont="1" applyBorder="1"/>
    <xf numFmtId="0" fontId="12" fillId="0" borderId="0" xfId="0" applyFont="1"/>
    <xf numFmtId="0" fontId="8" fillId="0" borderId="4" xfId="0" applyFont="1" applyBorder="1" applyAlignment="1">
      <alignment horizontal="center" vertical="center"/>
    </xf>
    <xf numFmtId="0" fontId="8" fillId="0" borderId="2" xfId="0" applyFont="1" applyBorder="1" applyAlignment="1">
      <alignment horizontal="center" vertical="center"/>
    </xf>
    <xf numFmtId="177" fontId="8" fillId="0" borderId="4" xfId="0" applyNumberFormat="1" applyFont="1" applyBorder="1" applyAlignment="1">
      <alignment horizontal="center" vertical="center"/>
    </xf>
    <xf numFmtId="177" fontId="8" fillId="0" borderId="2" xfId="0" applyNumberFormat="1" applyFont="1" applyBorder="1" applyAlignment="1">
      <alignment horizontal="center" vertical="center"/>
    </xf>
    <xf numFmtId="0" fontId="11" fillId="0" borderId="0" xfId="0" applyFont="1"/>
    <xf numFmtId="0" fontId="8" fillId="0" borderId="2" xfId="0" applyFont="1" applyBorder="1" applyAlignment="1">
      <alignment vertical="center"/>
    </xf>
    <xf numFmtId="179" fontId="8" fillId="0" borderId="2" xfId="0" applyNumberFormat="1" applyFont="1" applyBorder="1" applyAlignment="1">
      <alignment vertical="center"/>
    </xf>
    <xf numFmtId="178" fontId="8" fillId="0" borderId="4" xfId="0" applyNumberFormat="1" applyFont="1" applyBorder="1" applyAlignment="1">
      <alignment horizontal="right" vertical="center"/>
    </xf>
    <xf numFmtId="178" fontId="8" fillId="12" borderId="2" xfId="0" applyNumberFormat="1" applyFont="1" applyFill="1" applyBorder="1" applyAlignment="1">
      <alignment horizontal="right" vertical="center"/>
    </xf>
    <xf numFmtId="0" fontId="17" fillId="0" borderId="0" xfId="0" applyFont="1" applyAlignment="1">
      <alignment horizontal="center"/>
    </xf>
    <xf numFmtId="0" fontId="23" fillId="0" borderId="0" xfId="0" applyFont="1"/>
    <xf numFmtId="0" fontId="8" fillId="3" borderId="2" xfId="0" applyFont="1" applyFill="1" applyBorder="1"/>
    <xf numFmtId="0" fontId="11" fillId="13" borderId="0" xfId="0" applyFont="1" applyFill="1" applyAlignment="1">
      <alignment vertical="center"/>
    </xf>
    <xf numFmtId="0" fontId="11" fillId="6" borderId="2" xfId="0" applyFont="1" applyFill="1" applyBorder="1"/>
    <xf numFmtId="0" fontId="8" fillId="0" borderId="19" xfId="0" applyFont="1" applyBorder="1" applyAlignment="1">
      <alignment vertical="center"/>
    </xf>
    <xf numFmtId="0" fontId="8" fillId="0" borderId="25" xfId="0" applyFont="1" applyBorder="1" applyAlignment="1">
      <alignment vertical="center"/>
    </xf>
    <xf numFmtId="0" fontId="8" fillId="5" borderId="2" xfId="0" applyFont="1" applyFill="1" applyBorder="1"/>
    <xf numFmtId="180" fontId="8" fillId="0" borderId="0" xfId="0" applyNumberFormat="1" applyFont="1"/>
    <xf numFmtId="185" fontId="8" fillId="0" borderId="0" xfId="0" applyNumberFormat="1" applyFont="1"/>
    <xf numFmtId="176" fontId="11" fillId="0" borderId="0" xfId="0" applyNumberFormat="1" applyFont="1"/>
    <xf numFmtId="176" fontId="8" fillId="0" borderId="0" xfId="0" applyNumberFormat="1" applyFont="1"/>
    <xf numFmtId="181" fontId="8" fillId="0" borderId="0" xfId="0" applyNumberFormat="1" applyFont="1"/>
    <xf numFmtId="186" fontId="8" fillId="0" borderId="0" xfId="0" applyNumberFormat="1" applyFont="1"/>
    <xf numFmtId="181" fontId="8" fillId="11" borderId="2" xfId="0" applyNumberFormat="1" applyFont="1" applyFill="1" applyBorder="1"/>
    <xf numFmtId="0" fontId="8" fillId="3" borderId="4" xfId="0" applyFont="1" applyFill="1" applyBorder="1"/>
    <xf numFmtId="0" fontId="8" fillId="0" borderId="33" xfId="0" applyFont="1" applyBorder="1" applyAlignment="1">
      <alignment horizontal="right"/>
    </xf>
    <xf numFmtId="185" fontId="8" fillId="0" borderId="14" xfId="0" applyNumberFormat="1" applyFont="1" applyBorder="1" applyAlignment="1">
      <alignment horizontal="right"/>
    </xf>
    <xf numFmtId="186" fontId="11" fillId="0" borderId="10" xfId="0" applyNumberFormat="1" applyFont="1" applyBorder="1"/>
    <xf numFmtId="0" fontId="8" fillId="0" borderId="11" xfId="0" applyFont="1" applyBorder="1" applyAlignment="1">
      <alignment horizontal="right"/>
    </xf>
    <xf numFmtId="0" fontId="8" fillId="0" borderId="0" xfId="0" applyFont="1" applyAlignment="1">
      <alignment horizontal="left"/>
    </xf>
    <xf numFmtId="38" fontId="8" fillId="0" borderId="0" xfId="1" applyFont="1" applyAlignment="1"/>
    <xf numFmtId="186" fontId="11" fillId="0" borderId="0" xfId="0" applyNumberFormat="1" applyFont="1"/>
    <xf numFmtId="176" fontId="11" fillId="0" borderId="10" xfId="0" applyNumberFormat="1" applyFont="1" applyBorder="1" applyAlignment="1">
      <alignment horizontal="right"/>
    </xf>
    <xf numFmtId="0" fontId="8" fillId="0" borderId="14" xfId="0" applyFont="1" applyBorder="1" applyAlignment="1">
      <alignment horizontal="right"/>
    </xf>
    <xf numFmtId="0" fontId="8" fillId="3" borderId="7" xfId="0" applyFont="1" applyFill="1" applyBorder="1"/>
    <xf numFmtId="0" fontId="8" fillId="0" borderId="7" xfId="0" applyFont="1" applyBorder="1"/>
    <xf numFmtId="0" fontId="8" fillId="0" borderId="19" xfId="0" applyFont="1" applyBorder="1" applyAlignment="1">
      <alignment horizontal="center"/>
    </xf>
    <xf numFmtId="0" fontId="8" fillId="0" borderId="1" xfId="0" applyFont="1" applyBorder="1" applyAlignment="1">
      <alignment horizontal="right"/>
    </xf>
    <xf numFmtId="181" fontId="8" fillId="0" borderId="0" xfId="0" applyNumberFormat="1" applyFont="1" applyAlignment="1">
      <alignment horizontal="right"/>
    </xf>
    <xf numFmtId="0" fontId="8" fillId="14" borderId="0" xfId="0" applyFont="1" applyFill="1"/>
    <xf numFmtId="0" fontId="8" fillId="15" borderId="0" xfId="0" applyFont="1" applyFill="1"/>
    <xf numFmtId="184" fontId="11" fillId="0" borderId="0" xfId="5" applyNumberFormat="1" applyFont="1" applyFill="1" applyBorder="1" applyAlignment="1"/>
    <xf numFmtId="184" fontId="11" fillId="0" borderId="0" xfId="0" applyNumberFormat="1" applyFont="1"/>
    <xf numFmtId="186" fontId="16" fillId="0" borderId="0" xfId="0" applyNumberFormat="1" applyFont="1" applyAlignment="1">
      <alignment horizontal="right"/>
    </xf>
    <xf numFmtId="0" fontId="12" fillId="5" borderId="4" xfId="0" applyFont="1" applyFill="1" applyBorder="1" applyAlignment="1">
      <alignment horizontal="center" vertical="center"/>
    </xf>
    <xf numFmtId="0" fontId="8" fillId="0" borderId="25" xfId="0" applyFont="1" applyBorder="1"/>
    <xf numFmtId="0" fontId="12" fillId="0" borderId="27" xfId="0" applyFont="1" applyBorder="1" applyAlignment="1">
      <alignment vertical="center"/>
    </xf>
    <xf numFmtId="0" fontId="8" fillId="0" borderId="27" xfId="0" applyFont="1" applyBorder="1"/>
    <xf numFmtId="2" fontId="8" fillId="0" borderId="27" xfId="0" applyNumberFormat="1" applyFont="1" applyBorder="1"/>
    <xf numFmtId="178" fontId="8" fillId="0" borderId="2" xfId="0" applyNumberFormat="1" applyFont="1" applyBorder="1" applyAlignment="1">
      <alignment horizontal="right"/>
    </xf>
    <xf numFmtId="0" fontId="12" fillId="5" borderId="2" xfId="0" applyFont="1" applyFill="1" applyBorder="1" applyAlignment="1">
      <alignment horizontal="center" vertical="center"/>
    </xf>
    <xf numFmtId="177" fontId="8" fillId="0" borderId="4" xfId="0" applyNumberFormat="1" applyFont="1" applyBorder="1" applyAlignment="1">
      <alignment horizontal="right"/>
    </xf>
    <xf numFmtId="177" fontId="8" fillId="0" borderId="4" xfId="0" applyNumberFormat="1" applyFont="1" applyBorder="1"/>
    <xf numFmtId="0" fontId="8" fillId="11" borderId="2" xfId="0" applyFont="1" applyFill="1" applyBorder="1"/>
    <xf numFmtId="187" fontId="8" fillId="0" borderId="1" xfId="5" applyNumberFormat="1" applyFont="1" applyBorder="1" applyAlignment="1"/>
    <xf numFmtId="187" fontId="8" fillId="0" borderId="3" xfId="5" applyNumberFormat="1" applyFont="1" applyBorder="1" applyAlignment="1"/>
    <xf numFmtId="187" fontId="8" fillId="0" borderId="20" xfId="5" applyNumberFormat="1" applyFont="1" applyBorder="1" applyAlignment="1"/>
    <xf numFmtId="187" fontId="8" fillId="0" borderId="13" xfId="5" applyNumberFormat="1" applyFont="1" applyBorder="1" applyAlignment="1"/>
    <xf numFmtId="182" fontId="8" fillId="0" borderId="1" xfId="0" applyNumberFormat="1" applyFont="1" applyBorder="1"/>
    <xf numFmtId="180" fontId="11" fillId="11" borderId="1" xfId="0" applyNumberFormat="1" applyFont="1" applyFill="1" applyBorder="1"/>
    <xf numFmtId="182" fontId="8" fillId="0" borderId="3" xfId="0" applyNumberFormat="1" applyFont="1" applyBorder="1"/>
    <xf numFmtId="182" fontId="8" fillId="0" borderId="20" xfId="0" applyNumberFormat="1" applyFont="1" applyBorder="1"/>
    <xf numFmtId="182" fontId="8" fillId="0" borderId="13" xfId="0" applyNumberFormat="1" applyFont="1" applyBorder="1"/>
    <xf numFmtId="0" fontId="13" fillId="0" borderId="0" xfId="0" applyFont="1" applyAlignment="1">
      <alignment horizontal="left" vertical="center"/>
    </xf>
    <xf numFmtId="0" fontId="13" fillId="0" borderId="0" xfId="0" applyFont="1" applyAlignment="1">
      <alignment vertical="center"/>
    </xf>
    <xf numFmtId="0" fontId="13" fillId="0" borderId="16" xfId="0" applyFont="1" applyBorder="1" applyAlignment="1">
      <alignment vertical="center"/>
    </xf>
    <xf numFmtId="0" fontId="19" fillId="0" borderId="16" xfId="0" applyFont="1" applyBorder="1" applyAlignment="1">
      <alignment horizontal="right" vertical="center"/>
    </xf>
    <xf numFmtId="0" fontId="19" fillId="0" borderId="16" xfId="0" applyFont="1" applyBorder="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9" fillId="0" borderId="0" xfId="0" applyFont="1"/>
    <xf numFmtId="0" fontId="19" fillId="0" borderId="0" xfId="0" applyFont="1" applyAlignment="1">
      <alignment horizontal="left" vertical="center"/>
    </xf>
    <xf numFmtId="0" fontId="8" fillId="0" borderId="25" xfId="0" applyFont="1" applyBorder="1" applyAlignment="1">
      <alignment horizontal="left"/>
    </xf>
    <xf numFmtId="0" fontId="8" fillId="0" borderId="0" xfId="0" applyFont="1" applyAlignment="1">
      <alignment horizontal="right" vertical="center"/>
    </xf>
    <xf numFmtId="0" fontId="14" fillId="0" borderId="0" xfId="0" applyFont="1"/>
    <xf numFmtId="0" fontId="17" fillId="0" borderId="0" xfId="0" applyFont="1"/>
    <xf numFmtId="0" fontId="30" fillId="0" borderId="0" xfId="0" applyFont="1"/>
    <xf numFmtId="0" fontId="19" fillId="0" borderId="22" xfId="0" applyFont="1" applyBorder="1" applyAlignment="1">
      <alignment vertical="center"/>
    </xf>
    <xf numFmtId="0" fontId="19" fillId="0" borderId="22" xfId="0" applyFont="1" applyBorder="1" applyAlignment="1">
      <alignment horizontal="left" vertical="center"/>
    </xf>
    <xf numFmtId="0" fontId="8" fillId="0" borderId="16" xfId="0" applyFont="1" applyBorder="1" applyAlignment="1">
      <alignment horizontal="center" vertical="center"/>
    </xf>
    <xf numFmtId="0" fontId="8" fillId="0" borderId="45" xfId="0" applyFont="1" applyBorder="1" applyAlignment="1">
      <alignment vertical="center"/>
    </xf>
    <xf numFmtId="0" fontId="8" fillId="0" borderId="19" xfId="0" applyFont="1" applyBorder="1" applyAlignment="1">
      <alignment horizontal="left"/>
    </xf>
    <xf numFmtId="0" fontId="8" fillId="0" borderId="45" xfId="0" applyFont="1" applyBorder="1"/>
    <xf numFmtId="0" fontId="8" fillId="0" borderId="45" xfId="0" applyFont="1" applyBorder="1" applyAlignment="1">
      <alignment horizontal="left"/>
    </xf>
    <xf numFmtId="177" fontId="17" fillId="0" borderId="0" xfId="0" applyNumberFormat="1" applyFont="1"/>
    <xf numFmtId="0" fontId="30" fillId="0" borderId="0" xfId="0" applyFont="1" applyAlignment="1">
      <alignment horizontal="left"/>
    </xf>
    <xf numFmtId="176" fontId="8" fillId="9" borderId="2" xfId="0" applyNumberFormat="1" applyFont="1" applyFill="1" applyBorder="1"/>
    <xf numFmtId="0" fontId="19" fillId="0" borderId="0" xfId="0" applyFont="1"/>
    <xf numFmtId="0" fontId="8" fillId="9" borderId="2" xfId="0" applyFont="1" applyFill="1" applyBorder="1" applyAlignment="1">
      <alignment vertical="center"/>
    </xf>
    <xf numFmtId="0" fontId="8" fillId="9" borderId="2" xfId="0" applyFont="1" applyFill="1" applyBorder="1"/>
    <xf numFmtId="0" fontId="8" fillId="0" borderId="27" xfId="0" applyFont="1" applyBorder="1" applyAlignment="1">
      <alignment vertical="center"/>
    </xf>
    <xf numFmtId="0" fontId="17" fillId="0" borderId="12" xfId="0" applyFont="1" applyBorder="1"/>
    <xf numFmtId="0" fontId="17" fillId="0" borderId="15" xfId="0" applyFont="1" applyBorder="1"/>
    <xf numFmtId="0" fontId="8" fillId="7" borderId="15" xfId="0" applyFont="1" applyFill="1" applyBorder="1"/>
    <xf numFmtId="0" fontId="8" fillId="7" borderId="22" xfId="0" applyFont="1" applyFill="1" applyBorder="1" applyAlignment="1">
      <alignment horizontal="center" vertical="center"/>
    </xf>
    <xf numFmtId="0" fontId="8" fillId="7" borderId="22" xfId="0" applyFont="1" applyFill="1" applyBorder="1" applyAlignment="1">
      <alignment horizontal="center"/>
    </xf>
    <xf numFmtId="0" fontId="8" fillId="7" borderId="22" xfId="0" applyFont="1" applyFill="1" applyBorder="1"/>
    <xf numFmtId="0" fontId="8" fillId="7" borderId="12" xfId="0" applyFont="1" applyFill="1" applyBorder="1"/>
    <xf numFmtId="0" fontId="8" fillId="0" borderId="56" xfId="0" applyFont="1" applyBorder="1"/>
    <xf numFmtId="0" fontId="12" fillId="0" borderId="4" xfId="0" applyFont="1" applyBorder="1" applyAlignment="1">
      <alignment horizontal="right"/>
    </xf>
    <xf numFmtId="0" fontId="12" fillId="0" borderId="2" xfId="0" applyFont="1" applyBorder="1" applyAlignment="1">
      <alignment horizontal="right"/>
    </xf>
    <xf numFmtId="0" fontId="12" fillId="0" borderId="57" xfId="0" applyFont="1" applyBorder="1" applyAlignment="1">
      <alignment horizontal="right"/>
    </xf>
    <xf numFmtId="0" fontId="12" fillId="0" borderId="2" xfId="0" applyFont="1" applyBorder="1"/>
    <xf numFmtId="180" fontId="8" fillId="0" borderId="2" xfId="0" applyNumberFormat="1" applyFont="1" applyBorder="1"/>
    <xf numFmtId="0" fontId="12" fillId="0" borderId="57" xfId="0" applyFont="1" applyBorder="1"/>
    <xf numFmtId="0" fontId="12" fillId="5" borderId="2" xfId="0" applyFont="1" applyFill="1" applyBorder="1"/>
    <xf numFmtId="0" fontId="8" fillId="0" borderId="58" xfId="0" applyFont="1" applyBorder="1"/>
    <xf numFmtId="176" fontId="8" fillId="0" borderId="59" xfId="0" applyNumberFormat="1" applyFont="1" applyBorder="1" applyAlignment="1">
      <alignment horizontal="center" vertical="center"/>
    </xf>
    <xf numFmtId="0" fontId="12" fillId="0" borderId="59" xfId="0" applyFont="1" applyBorder="1" applyAlignment="1">
      <alignment horizontal="right"/>
    </xf>
    <xf numFmtId="0" fontId="12" fillId="0" borderId="44" xfId="0" applyFont="1" applyBorder="1" applyAlignment="1">
      <alignment horizontal="right"/>
    </xf>
    <xf numFmtId="0" fontId="12" fillId="0" borderId="59" xfId="0" applyFont="1" applyBorder="1"/>
    <xf numFmtId="180" fontId="8" fillId="0" borderId="59" xfId="0" applyNumberFormat="1" applyFont="1" applyBorder="1"/>
    <xf numFmtId="0" fontId="12" fillId="0" borderId="44" xfId="0" applyFont="1" applyBorder="1"/>
    <xf numFmtId="176" fontId="8" fillId="0" borderId="0" xfId="0" applyNumberFormat="1" applyFont="1" applyAlignment="1">
      <alignment horizontal="center" vertical="center"/>
    </xf>
    <xf numFmtId="0" fontId="8" fillId="7" borderId="0" xfId="0" applyFont="1" applyFill="1"/>
    <xf numFmtId="0" fontId="8" fillId="0" borderId="33" xfId="0" applyFont="1" applyBorder="1"/>
    <xf numFmtId="0" fontId="8" fillId="0" borderId="14" xfId="0" applyFont="1" applyBorder="1"/>
    <xf numFmtId="180" fontId="14" fillId="8" borderId="1" xfId="0" applyNumberFormat="1" applyFont="1" applyFill="1" applyBorder="1"/>
    <xf numFmtId="0" fontId="8" fillId="0" borderId="60" xfId="0" applyFont="1" applyBorder="1"/>
    <xf numFmtId="0" fontId="8" fillId="7" borderId="0" xfId="0" applyFont="1" applyFill="1" applyAlignment="1">
      <alignment horizontal="left"/>
    </xf>
    <xf numFmtId="0" fontId="8" fillId="7" borderId="12" xfId="0" applyFont="1" applyFill="1" applyBorder="1" applyAlignment="1">
      <alignment vertical="center"/>
    </xf>
    <xf numFmtId="189" fontId="14" fillId="16" borderId="32" xfId="0" applyNumberFormat="1" applyFont="1" applyFill="1" applyBorder="1"/>
    <xf numFmtId="0" fontId="14" fillId="16" borderId="32" xfId="0" applyFont="1" applyFill="1" applyBorder="1" applyAlignment="1">
      <alignment vertical="center"/>
    </xf>
    <xf numFmtId="1" fontId="14" fillId="16" borderId="32" xfId="0" applyNumberFormat="1" applyFont="1" applyFill="1" applyBorder="1" applyAlignment="1">
      <alignment vertical="center"/>
    </xf>
    <xf numFmtId="0" fontId="0" fillId="0" borderId="0" xfId="0" applyAlignment="1">
      <alignment horizontal="right"/>
    </xf>
    <xf numFmtId="2" fontId="11" fillId="0" borderId="21" xfId="0" applyNumberFormat="1" applyFont="1" applyBorder="1" applyAlignment="1">
      <alignment horizontal="right" vertical="center"/>
    </xf>
    <xf numFmtId="0" fontId="19" fillId="0" borderId="11" xfId="0" applyFont="1" applyBorder="1" applyAlignment="1">
      <alignment horizontal="right" vertical="center"/>
    </xf>
    <xf numFmtId="0" fontId="19" fillId="0" borderId="10" xfId="0" applyFont="1" applyBorder="1" applyAlignment="1">
      <alignment horizontal="right" vertical="center"/>
    </xf>
    <xf numFmtId="0" fontId="13" fillId="0" borderId="21" xfId="0" applyFont="1" applyBorder="1" applyAlignment="1">
      <alignment horizontal="left" vertical="center"/>
    </xf>
    <xf numFmtId="0" fontId="9" fillId="0" borderId="2" xfId="0" applyFont="1" applyBorder="1"/>
    <xf numFmtId="0" fontId="12" fillId="0" borderId="0" xfId="0" applyFont="1" applyAlignment="1">
      <alignment horizontal="right"/>
    </xf>
    <xf numFmtId="0" fontId="35" fillId="0" borderId="0" xfId="0" applyFont="1" applyAlignment="1">
      <alignment horizontal="right" vertical="top"/>
    </xf>
    <xf numFmtId="0" fontId="36" fillId="0" borderId="0" xfId="0" applyFont="1" applyAlignment="1">
      <alignment horizontal="center" vertical="center"/>
    </xf>
    <xf numFmtId="0" fontId="0" fillId="0" borderId="0" xfId="0" applyAlignment="1">
      <alignment horizontal="right" vertical="center"/>
    </xf>
    <xf numFmtId="0" fontId="8" fillId="0" borderId="0" xfId="0" applyFont="1" applyAlignment="1">
      <alignment horizontal="left" vertical="center"/>
    </xf>
    <xf numFmtId="0" fontId="19" fillId="0" borderId="16" xfId="0" applyFont="1" applyBorder="1" applyAlignment="1">
      <alignment horizontal="left" vertical="center"/>
    </xf>
    <xf numFmtId="0" fontId="8" fillId="0" borderId="16" xfId="0" applyFont="1" applyBorder="1" applyAlignment="1">
      <alignment vertical="center"/>
    </xf>
    <xf numFmtId="0" fontId="13" fillId="0" borderId="0" xfId="0" applyFont="1"/>
    <xf numFmtId="0" fontId="8" fillId="0" borderId="19" xfId="0" applyFont="1" applyBorder="1" applyAlignment="1">
      <alignment horizontal="right"/>
    </xf>
    <xf numFmtId="0" fontId="13" fillId="0" borderId="0" xfId="0" applyFont="1" applyAlignment="1">
      <alignment horizontal="right" vertical="center"/>
    </xf>
    <xf numFmtId="0" fontId="19" fillId="0" borderId="25" xfId="0" applyFont="1" applyBorder="1" applyAlignment="1">
      <alignment horizontal="left" vertical="center"/>
    </xf>
    <xf numFmtId="0" fontId="19" fillId="0" borderId="19" xfId="0" applyFont="1" applyBorder="1" applyAlignment="1">
      <alignment horizontal="right" vertical="center"/>
    </xf>
    <xf numFmtId="0" fontId="19" fillId="0" borderId="19" xfId="0" applyFont="1" applyBorder="1" applyAlignment="1">
      <alignment vertical="center"/>
    </xf>
    <xf numFmtId="0" fontId="8" fillId="0" borderId="25" xfId="0" applyFont="1" applyBorder="1" applyAlignment="1">
      <alignment horizontal="right"/>
    </xf>
    <xf numFmtId="0" fontId="19" fillId="0" borderId="25" xfId="0" applyFont="1" applyBorder="1" applyAlignment="1">
      <alignment horizontal="right" vertical="center"/>
    </xf>
    <xf numFmtId="0" fontId="19" fillId="0" borderId="25" xfId="0" applyFont="1" applyBorder="1" applyAlignment="1">
      <alignment vertical="center"/>
    </xf>
    <xf numFmtId="0" fontId="19" fillId="0" borderId="45" xfId="0" applyFont="1" applyBorder="1" applyAlignment="1">
      <alignment vertical="center"/>
    </xf>
    <xf numFmtId="0" fontId="13" fillId="0" borderId="25" xfId="0" applyFont="1" applyBorder="1" applyAlignment="1">
      <alignment vertical="center"/>
    </xf>
    <xf numFmtId="0" fontId="8" fillId="0" borderId="45" xfId="0" applyFont="1" applyBorder="1" applyAlignment="1">
      <alignment horizontal="right" vertical="center"/>
    </xf>
    <xf numFmtId="0" fontId="8" fillId="0" borderId="45" xfId="0" applyFont="1" applyBorder="1" applyAlignment="1">
      <alignment horizontal="right"/>
    </xf>
    <xf numFmtId="0" fontId="8" fillId="0" borderId="19" xfId="0" applyFont="1" applyBorder="1" applyAlignment="1">
      <alignment horizontal="right" vertical="center"/>
    </xf>
    <xf numFmtId="0" fontId="19" fillId="0" borderId="45" xfId="0" applyFont="1" applyBorder="1" applyAlignment="1">
      <alignment horizontal="right" vertical="center"/>
    </xf>
    <xf numFmtId="0" fontId="8" fillId="9" borderId="11" xfId="0" applyFont="1" applyFill="1" applyBorder="1"/>
    <xf numFmtId="0" fontId="8" fillId="9" borderId="21" xfId="0" applyFont="1" applyFill="1" applyBorder="1"/>
    <xf numFmtId="0" fontId="8" fillId="9" borderId="10" xfId="0" applyFont="1" applyFill="1" applyBorder="1"/>
    <xf numFmtId="0" fontId="8" fillId="9" borderId="1" xfId="0" applyFont="1" applyFill="1" applyBorder="1"/>
    <xf numFmtId="0" fontId="8" fillId="9" borderId="33" xfId="0" applyFont="1" applyFill="1" applyBorder="1"/>
    <xf numFmtId="0" fontId="8" fillId="9" borderId="33" xfId="0" applyFont="1" applyFill="1" applyBorder="1" applyAlignment="1">
      <alignment shrinkToFit="1"/>
    </xf>
    <xf numFmtId="0" fontId="8" fillId="9" borderId="14" xfId="0" applyFont="1" applyFill="1" applyBorder="1" applyAlignment="1">
      <alignment shrinkToFit="1"/>
    </xf>
    <xf numFmtId="0" fontId="8" fillId="9" borderId="60" xfId="0" applyFont="1" applyFill="1" applyBorder="1"/>
    <xf numFmtId="0" fontId="8" fillId="2" borderId="1" xfId="0" applyFont="1" applyFill="1" applyBorder="1"/>
    <xf numFmtId="0" fontId="8" fillId="9" borderId="74" xfId="0" applyFont="1" applyFill="1" applyBorder="1"/>
    <xf numFmtId="0" fontId="8" fillId="9" borderId="75" xfId="0" applyFont="1" applyFill="1" applyBorder="1"/>
    <xf numFmtId="0" fontId="8" fillId="9" borderId="14" xfId="0" applyFont="1" applyFill="1" applyBorder="1"/>
    <xf numFmtId="0" fontId="8" fillId="8" borderId="11" xfId="0" applyFont="1" applyFill="1" applyBorder="1"/>
    <xf numFmtId="0" fontId="8" fillId="8" borderId="59" xfId="0" applyFont="1" applyFill="1" applyBorder="1"/>
    <xf numFmtId="0" fontId="8" fillId="2" borderId="8" xfId="0" applyFont="1" applyFill="1" applyBorder="1"/>
    <xf numFmtId="0" fontId="8" fillId="2" borderId="2" xfId="0" applyFont="1" applyFill="1" applyBorder="1"/>
    <xf numFmtId="186" fontId="8" fillId="2" borderId="1" xfId="0" applyNumberFormat="1" applyFont="1" applyFill="1" applyBorder="1" applyAlignment="1">
      <alignment horizontal="right"/>
    </xf>
    <xf numFmtId="186" fontId="8" fillId="0" borderId="21" xfId="0" applyNumberFormat="1" applyFont="1" applyBorder="1"/>
    <xf numFmtId="0" fontId="8" fillId="0" borderId="11" xfId="0" applyFont="1" applyBorder="1"/>
    <xf numFmtId="0" fontId="8" fillId="2" borderId="2" xfId="0" applyFont="1" applyFill="1" applyBorder="1" applyAlignment="1">
      <alignment vertical="center"/>
    </xf>
    <xf numFmtId="0" fontId="8" fillId="17" borderId="2" xfId="0" applyFont="1" applyFill="1" applyBorder="1"/>
    <xf numFmtId="0" fontId="41" fillId="0" borderId="0" xfId="0" applyFont="1"/>
    <xf numFmtId="181" fontId="14" fillId="0" borderId="0" xfId="0" applyNumberFormat="1" applyFont="1"/>
    <xf numFmtId="189" fontId="33" fillId="0" borderId="21" xfId="0" applyNumberFormat="1" applyFont="1" applyBorder="1" applyAlignment="1">
      <alignment horizontal="right" vertical="center"/>
    </xf>
    <xf numFmtId="0" fontId="14" fillId="0" borderId="0" xfId="0" applyFont="1" applyAlignment="1">
      <alignment horizontal="left"/>
    </xf>
    <xf numFmtId="0" fontId="16" fillId="0" borderId="0" xfId="2" applyFont="1" applyAlignment="1"/>
    <xf numFmtId="181" fontId="43" fillId="0" borderId="0" xfId="0" applyNumberFormat="1" applyFont="1" applyAlignment="1">
      <alignment horizontal="right"/>
    </xf>
    <xf numFmtId="189" fontId="8" fillId="0" borderId="0" xfId="0" applyNumberFormat="1" applyFont="1"/>
    <xf numFmtId="1" fontId="8" fillId="0" borderId="0" xfId="0" applyNumberFormat="1" applyFont="1"/>
    <xf numFmtId="0" fontId="8" fillId="2" borderId="59" xfId="0" applyFont="1" applyFill="1" applyBorder="1"/>
    <xf numFmtId="0" fontId="8" fillId="13" borderId="76" xfId="0" applyFont="1" applyFill="1" applyBorder="1"/>
    <xf numFmtId="0" fontId="8" fillId="13" borderId="60" xfId="0" applyFont="1" applyFill="1" applyBorder="1"/>
    <xf numFmtId="0" fontId="8" fillId="2" borderId="14" xfId="0" applyFont="1" applyFill="1" applyBorder="1"/>
    <xf numFmtId="0" fontId="8" fillId="2" borderId="80" xfId="0" applyFont="1" applyFill="1" applyBorder="1"/>
    <xf numFmtId="0" fontId="8" fillId="0" borderId="0" xfId="7" applyFont="1">
      <alignment vertical="center"/>
    </xf>
    <xf numFmtId="14" fontId="19" fillId="0" borderId="0" xfId="7" applyNumberFormat="1" applyFont="1">
      <alignment vertical="center"/>
    </xf>
    <xf numFmtId="0" fontId="8" fillId="0" borderId="2" xfId="7" applyFont="1" applyBorder="1">
      <alignment vertical="center"/>
    </xf>
    <xf numFmtId="0" fontId="19" fillId="0" borderId="2" xfId="7" applyFont="1" applyBorder="1" applyAlignment="1">
      <alignment horizontal="left" vertical="center"/>
    </xf>
    <xf numFmtId="189" fontId="8" fillId="0" borderId="2" xfId="7" applyNumberFormat="1" applyFont="1" applyBorder="1">
      <alignment vertical="center"/>
    </xf>
    <xf numFmtId="0" fontId="19" fillId="0" borderId="2" xfId="7" applyFont="1" applyBorder="1">
      <alignment vertical="center"/>
    </xf>
    <xf numFmtId="0" fontId="8" fillId="0" borderId="26" xfId="7" applyFont="1" applyBorder="1">
      <alignment vertical="center"/>
    </xf>
    <xf numFmtId="0" fontId="8" fillId="0" borderId="2" xfId="7" applyFont="1" applyBorder="1" applyAlignment="1">
      <alignment horizontal="left" vertical="center"/>
    </xf>
    <xf numFmtId="0" fontId="19" fillId="0" borderId="0" xfId="7" applyFont="1">
      <alignment vertical="center"/>
    </xf>
    <xf numFmtId="2" fontId="8" fillId="0" borderId="2" xfId="7" applyNumberFormat="1" applyFont="1" applyBorder="1">
      <alignment vertical="center"/>
    </xf>
    <xf numFmtId="0" fontId="8" fillId="0" borderId="2" xfId="7" applyFont="1" applyBorder="1" applyAlignment="1">
      <alignment horizontal="center" vertical="center"/>
    </xf>
    <xf numFmtId="0" fontId="8" fillId="0" borderId="0" xfId="7" applyFont="1" applyAlignment="1">
      <alignment horizontal="left" vertical="center"/>
    </xf>
    <xf numFmtId="0" fontId="8" fillId="0" borderId="0" xfId="7" applyFont="1" applyAlignment="1">
      <alignment horizontal="right" vertical="center"/>
    </xf>
    <xf numFmtId="1" fontId="8" fillId="0" borderId="0" xfId="7" applyNumberFormat="1" applyFont="1">
      <alignment vertical="center"/>
    </xf>
    <xf numFmtId="38" fontId="8" fillId="0" borderId="0" xfId="8" applyFont="1">
      <alignment vertical="center"/>
    </xf>
    <xf numFmtId="38" fontId="8" fillId="0" borderId="2" xfId="8" applyFont="1" applyBorder="1">
      <alignment vertical="center"/>
    </xf>
    <xf numFmtId="38" fontId="8" fillId="0" borderId="2" xfId="7" applyNumberFormat="1" applyFont="1" applyBorder="1">
      <alignment vertical="center"/>
    </xf>
    <xf numFmtId="38" fontId="8" fillId="0" borderId="28" xfId="7" applyNumberFormat="1" applyFont="1" applyBorder="1" applyAlignment="1">
      <alignment horizontal="right" vertical="center"/>
    </xf>
    <xf numFmtId="189" fontId="8" fillId="0" borderId="0" xfId="7" applyNumberFormat="1" applyFont="1">
      <alignment vertical="center"/>
    </xf>
    <xf numFmtId="2" fontId="8" fillId="0" borderId="0" xfId="7" applyNumberFormat="1" applyFont="1">
      <alignment vertical="center"/>
    </xf>
    <xf numFmtId="192" fontId="8" fillId="0" borderId="0" xfId="7" applyNumberFormat="1" applyFont="1">
      <alignment vertical="center"/>
    </xf>
    <xf numFmtId="0" fontId="8" fillId="0" borderId="0" xfId="7" applyFont="1" applyAlignment="1">
      <alignment horizontal="center" vertical="center"/>
    </xf>
    <xf numFmtId="38" fontId="8" fillId="0" borderId="0" xfId="8" applyFont="1" applyFill="1">
      <alignment vertical="center"/>
    </xf>
    <xf numFmtId="194" fontId="8" fillId="0" borderId="0" xfId="8" applyNumberFormat="1" applyFont="1" applyFill="1">
      <alignment vertical="center"/>
    </xf>
    <xf numFmtId="191" fontId="8" fillId="0" borderId="2" xfId="7" applyNumberFormat="1" applyFont="1" applyBorder="1">
      <alignment vertical="center"/>
    </xf>
    <xf numFmtId="0" fontId="8" fillId="0" borderId="2" xfId="7" applyFont="1" applyBorder="1" applyAlignment="1">
      <alignment horizontal="center" vertical="center" wrapText="1"/>
    </xf>
    <xf numFmtId="0" fontId="8" fillId="0" borderId="2" xfId="7" quotePrefix="1" applyFont="1" applyBorder="1" applyAlignment="1">
      <alignment horizontal="center" vertical="center"/>
    </xf>
    <xf numFmtId="0" fontId="23" fillId="0" borderId="2" xfId="7" applyFont="1" applyBorder="1">
      <alignment vertical="center"/>
    </xf>
    <xf numFmtId="0" fontId="8" fillId="0" borderId="2" xfId="7" applyFont="1" applyBorder="1" applyAlignment="1">
      <alignment horizontal="right" vertical="center"/>
    </xf>
    <xf numFmtId="0" fontId="8" fillId="0" borderId="2" xfId="7" applyFont="1" applyBorder="1" applyAlignment="1">
      <alignment vertical="center" wrapText="1"/>
    </xf>
    <xf numFmtId="2" fontId="8" fillId="0" borderId="2" xfId="7" applyNumberFormat="1" applyFont="1" applyBorder="1" applyAlignment="1">
      <alignment horizontal="center" vertical="center"/>
    </xf>
    <xf numFmtId="1" fontId="8" fillId="0" borderId="2" xfId="7" applyNumberFormat="1" applyFont="1" applyBorder="1">
      <alignment vertical="center"/>
    </xf>
    <xf numFmtId="192" fontId="8" fillId="0" borderId="2" xfId="7" applyNumberFormat="1" applyFont="1" applyBorder="1">
      <alignment vertical="center"/>
    </xf>
    <xf numFmtId="194" fontId="8" fillId="0" borderId="2" xfId="8" applyNumberFormat="1" applyFont="1" applyBorder="1">
      <alignment vertical="center"/>
    </xf>
    <xf numFmtId="38" fontId="8" fillId="0" borderId="0" xfId="8" applyFont="1" applyBorder="1">
      <alignment vertical="center"/>
    </xf>
    <xf numFmtId="0" fontId="8" fillId="10" borderId="2" xfId="0" applyFont="1" applyFill="1" applyBorder="1"/>
    <xf numFmtId="0" fontId="8" fillId="0" borderId="16" xfId="0" applyFont="1" applyBorder="1"/>
    <xf numFmtId="0" fontId="19" fillId="0" borderId="20" xfId="0" applyFont="1" applyBorder="1" applyAlignment="1">
      <alignment horizontal="right" vertical="center"/>
    </xf>
    <xf numFmtId="0" fontId="19" fillId="0" borderId="20" xfId="0" applyFont="1" applyBorder="1" applyAlignment="1">
      <alignment vertical="center"/>
    </xf>
    <xf numFmtId="0" fontId="0" fillId="0" borderId="16" xfId="0" applyBorder="1"/>
    <xf numFmtId="0" fontId="9" fillId="0" borderId="0" xfId="7" applyFont="1">
      <alignment vertical="center"/>
    </xf>
    <xf numFmtId="0" fontId="42" fillId="0" borderId="0" xfId="0" applyFont="1"/>
    <xf numFmtId="0" fontId="19" fillId="0" borderId="30" xfId="0" applyFont="1" applyBorder="1" applyAlignment="1">
      <alignment horizontal="left"/>
    </xf>
    <xf numFmtId="0" fontId="19" fillId="0" borderId="9" xfId="0" applyFont="1" applyBorder="1" applyAlignment="1">
      <alignment horizontal="left"/>
    </xf>
    <xf numFmtId="0" fontId="19" fillId="0" borderId="32" xfId="0" applyFont="1" applyBorder="1" applyAlignment="1">
      <alignment horizontal="left"/>
    </xf>
    <xf numFmtId="0" fontId="19" fillId="0" borderId="15" xfId="0" applyFont="1" applyBorder="1"/>
    <xf numFmtId="0" fontId="45" fillId="0" borderId="12" xfId="0" applyFont="1" applyBorder="1"/>
    <xf numFmtId="0" fontId="19" fillId="0" borderId="31" xfId="0" applyFont="1" applyBorder="1" applyAlignment="1">
      <alignment horizontal="left"/>
    </xf>
    <xf numFmtId="0" fontId="19" fillId="0" borderId="56" xfId="0" applyFont="1" applyBorder="1"/>
    <xf numFmtId="0" fontId="47" fillId="0" borderId="0" xfId="0" applyFont="1"/>
    <xf numFmtId="1" fontId="33" fillId="11" borderId="21" xfId="0" applyNumberFormat="1" applyFont="1" applyFill="1" applyBorder="1" applyAlignment="1">
      <alignment horizontal="right" vertical="center"/>
    </xf>
    <xf numFmtId="0" fontId="11" fillId="2" borderId="21" xfId="0" applyFont="1" applyFill="1" applyBorder="1" applyAlignment="1">
      <alignment horizontal="right" vertical="center"/>
    </xf>
    <xf numFmtId="0" fontId="12" fillId="0" borderId="44" xfId="7" applyFont="1" applyBorder="1">
      <alignment vertical="center"/>
    </xf>
    <xf numFmtId="0" fontId="43" fillId="0" borderId="0" xfId="0" applyFont="1" applyAlignment="1">
      <alignment horizontal="right" vertical="center"/>
    </xf>
    <xf numFmtId="0" fontId="43" fillId="0" borderId="0" xfId="0" applyFont="1" applyAlignment="1">
      <alignment horizontal="right"/>
    </xf>
    <xf numFmtId="0" fontId="48" fillId="0" borderId="0" xfId="0" applyFont="1"/>
    <xf numFmtId="176" fontId="11" fillId="0" borderId="21" xfId="0" applyNumberFormat="1" applyFont="1" applyBorder="1" applyAlignment="1">
      <alignment horizontal="right" vertical="center"/>
    </xf>
    <xf numFmtId="0" fontId="12" fillId="7" borderId="2" xfId="7" applyFont="1" applyFill="1" applyBorder="1">
      <alignment vertical="center"/>
    </xf>
    <xf numFmtId="0" fontId="19" fillId="7" borderId="2" xfId="7" applyFont="1" applyFill="1" applyBorder="1">
      <alignment vertical="center"/>
    </xf>
    <xf numFmtId="0" fontId="8" fillId="0" borderId="1" xfId="0" applyFont="1" applyBorder="1"/>
    <xf numFmtId="185" fontId="8" fillId="18" borderId="2" xfId="0" applyNumberFormat="1" applyFont="1" applyFill="1" applyBorder="1"/>
    <xf numFmtId="185" fontId="8" fillId="5" borderId="59" xfId="0" applyNumberFormat="1" applyFont="1" applyFill="1" applyBorder="1"/>
    <xf numFmtId="0" fontId="13" fillId="0" borderId="0" xfId="0" applyFont="1" applyAlignment="1">
      <alignment horizontal="center"/>
    </xf>
    <xf numFmtId="0" fontId="45" fillId="0" borderId="30" xfId="0" applyFont="1" applyBorder="1"/>
    <xf numFmtId="0" fontId="43" fillId="0" borderId="0" xfId="0" applyFont="1" applyAlignment="1">
      <alignment horizontal="left"/>
    </xf>
    <xf numFmtId="0" fontId="12" fillId="0" borderId="0" xfId="0" applyFont="1" applyAlignment="1">
      <alignment horizontal="left"/>
    </xf>
    <xf numFmtId="0" fontId="49" fillId="0" borderId="0" xfId="0" applyFont="1"/>
    <xf numFmtId="2" fontId="40" fillId="0" borderId="0" xfId="0" applyNumberFormat="1" applyFont="1" applyAlignment="1">
      <alignment horizontal="right"/>
    </xf>
    <xf numFmtId="0" fontId="8" fillId="0" borderId="22" xfId="7" applyFont="1" applyBorder="1">
      <alignment vertical="center"/>
    </xf>
    <xf numFmtId="0" fontId="19" fillId="0" borderId="31" xfId="0" applyFont="1" applyBorder="1"/>
    <xf numFmtId="0" fontId="0" fillId="0" borderId="32" xfId="0" applyBorder="1"/>
    <xf numFmtId="181" fontId="47" fillId="0" borderId="0" xfId="0" applyNumberFormat="1" applyFont="1" applyAlignment="1">
      <alignment horizontal="right"/>
    </xf>
    <xf numFmtId="0" fontId="49" fillId="0" borderId="0" xfId="0" applyFont="1" applyAlignment="1">
      <alignment horizontal="right"/>
    </xf>
    <xf numFmtId="2" fontId="33" fillId="6" borderId="21" xfId="0" applyNumberFormat="1" applyFont="1" applyFill="1" applyBorder="1"/>
    <xf numFmtId="2" fontId="33" fillId="6" borderId="0" xfId="0" applyNumberFormat="1" applyFont="1" applyFill="1" applyAlignment="1">
      <alignment horizontal="left"/>
    </xf>
    <xf numFmtId="0" fontId="11" fillId="0" borderId="0" xfId="0" applyFont="1" applyAlignment="1">
      <alignment horizontal="right"/>
    </xf>
    <xf numFmtId="0" fontId="47" fillId="0" borderId="0" xfId="0" applyFont="1" applyAlignment="1">
      <alignment horizontal="left"/>
    </xf>
    <xf numFmtId="185" fontId="40" fillId="5" borderId="59" xfId="0" applyNumberFormat="1" applyFont="1" applyFill="1" applyBorder="1"/>
    <xf numFmtId="1" fontId="33" fillId="0" borderId="2" xfId="0" applyNumberFormat="1" applyFont="1" applyBorder="1" applyAlignment="1">
      <alignment vertical="center"/>
    </xf>
    <xf numFmtId="0" fontId="12" fillId="5" borderId="87" xfId="0" applyFont="1" applyFill="1" applyBorder="1"/>
    <xf numFmtId="0" fontId="12" fillId="18" borderId="56" xfId="0" applyFont="1" applyFill="1" applyBorder="1"/>
    <xf numFmtId="0" fontId="12" fillId="5" borderId="56" xfId="0" applyFont="1" applyFill="1" applyBorder="1"/>
    <xf numFmtId="0" fontId="12" fillId="5" borderId="58" xfId="0" applyFont="1" applyFill="1" applyBorder="1"/>
    <xf numFmtId="0" fontId="5" fillId="0" borderId="0" xfId="7">
      <alignment vertical="center"/>
    </xf>
    <xf numFmtId="189" fontId="8" fillId="0" borderId="2" xfId="7" applyNumberFormat="1" applyFont="1" applyBorder="1" applyAlignment="1">
      <alignment horizontal="center" vertical="center"/>
    </xf>
    <xf numFmtId="0" fontId="8" fillId="0" borderId="28" xfId="7" applyFont="1" applyBorder="1">
      <alignment vertical="center"/>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9" fillId="0" borderId="97" xfId="0" applyFont="1" applyBorder="1" applyAlignment="1">
      <alignment vertical="center"/>
    </xf>
    <xf numFmtId="0" fontId="8" fillId="2" borderId="60" xfId="0" applyFont="1" applyFill="1" applyBorder="1"/>
    <xf numFmtId="0" fontId="8" fillId="2" borderId="33" xfId="0" applyFont="1" applyFill="1" applyBorder="1"/>
    <xf numFmtId="0" fontId="8" fillId="0" borderId="16" xfId="0" applyFont="1" applyBorder="1" applyAlignment="1">
      <alignment horizontal="right" vertical="center"/>
    </xf>
    <xf numFmtId="188" fontId="17" fillId="0" borderId="0" xfId="0" applyNumberFormat="1" applyFont="1" applyAlignment="1">
      <alignment horizontal="center"/>
    </xf>
    <xf numFmtId="0" fontId="11" fillId="7" borderId="21" xfId="0" applyFont="1" applyFill="1" applyBorder="1" applyAlignment="1">
      <alignment horizontal="center" vertical="center"/>
    </xf>
    <xf numFmtId="0" fontId="8" fillId="9" borderId="60" xfId="0" applyFont="1" applyFill="1" applyBorder="1" applyAlignment="1">
      <alignment shrinkToFit="1"/>
    </xf>
    <xf numFmtId="0" fontId="11" fillId="0" borderId="0" xfId="7" applyFont="1">
      <alignment vertical="center"/>
    </xf>
    <xf numFmtId="0" fontId="11" fillId="0" borderId="0" xfId="7" applyFont="1" applyAlignment="1">
      <alignment horizontal="left" vertical="center"/>
    </xf>
    <xf numFmtId="0" fontId="12" fillId="0" borderId="0" xfId="7" applyFont="1">
      <alignment vertical="center"/>
    </xf>
    <xf numFmtId="0" fontId="8" fillId="13" borderId="33" xfId="0" applyFont="1" applyFill="1" applyBorder="1"/>
    <xf numFmtId="0" fontId="8" fillId="13" borderId="10" xfId="0" applyFont="1" applyFill="1" applyBorder="1"/>
    <xf numFmtId="186" fontId="11" fillId="8" borderId="21" xfId="0" applyNumberFormat="1" applyFont="1" applyFill="1" applyBorder="1" applyAlignment="1">
      <alignment horizontal="right" vertical="center" shrinkToFit="1"/>
    </xf>
    <xf numFmtId="185" fontId="11" fillId="0" borderId="21" xfId="0" applyNumberFormat="1" applyFont="1" applyBorder="1"/>
    <xf numFmtId="185" fontId="8" fillId="0" borderId="21" xfId="0" applyNumberFormat="1" applyFont="1" applyBorder="1"/>
    <xf numFmtId="186" fontId="11" fillId="8" borderId="21" xfId="0" applyNumberFormat="1" applyFont="1" applyFill="1" applyBorder="1" applyAlignment="1">
      <alignment vertical="center" shrinkToFit="1"/>
    </xf>
    <xf numFmtId="176" fontId="11" fillId="0" borderId="30" xfId="0" applyNumberFormat="1" applyFont="1" applyBorder="1"/>
    <xf numFmtId="176" fontId="11" fillId="0" borderId="31" xfId="0" applyNumberFormat="1" applyFont="1" applyBorder="1"/>
    <xf numFmtId="181" fontId="11" fillId="11" borderId="21" xfId="0" applyNumberFormat="1" applyFont="1" applyFill="1" applyBorder="1" applyAlignment="1">
      <alignment horizontal="right" vertical="center"/>
    </xf>
    <xf numFmtId="181" fontId="11" fillId="11" borderId="21" xfId="0" applyNumberFormat="1" applyFont="1" applyFill="1" applyBorder="1"/>
    <xf numFmtId="186" fontId="11" fillId="11" borderId="21" xfId="0" applyNumberFormat="1" applyFont="1" applyFill="1" applyBorder="1" applyAlignment="1">
      <alignment horizontal="right" vertical="center"/>
    </xf>
    <xf numFmtId="186" fontId="11" fillId="11" borderId="21" xfId="0" applyNumberFormat="1" applyFont="1" applyFill="1" applyBorder="1"/>
    <xf numFmtId="186" fontId="33" fillId="11" borderId="21" xfId="0" applyNumberFormat="1" applyFont="1" applyFill="1" applyBorder="1" applyAlignment="1">
      <alignment horizontal="right" vertical="center"/>
    </xf>
    <xf numFmtId="0" fontId="8" fillId="2" borderId="11" xfId="0" applyFont="1" applyFill="1" applyBorder="1"/>
    <xf numFmtId="0" fontId="8" fillId="0" borderId="22" xfId="0" applyFont="1" applyBorder="1"/>
    <xf numFmtId="181" fontId="8" fillId="0" borderId="0" xfId="0" applyNumberFormat="1" applyFont="1" applyAlignment="1">
      <alignment horizontal="left" vertical="center"/>
    </xf>
    <xf numFmtId="181" fontId="8" fillId="0" borderId="79" xfId="0" applyNumberFormat="1" applyFont="1" applyBorder="1" applyAlignment="1">
      <alignment horizontal="left" vertical="center"/>
    </xf>
    <xf numFmtId="181" fontId="8" fillId="0" borderId="107" xfId="0" applyNumberFormat="1" applyFont="1" applyBorder="1" applyAlignment="1">
      <alignment horizontal="left" vertical="center"/>
    </xf>
    <xf numFmtId="181" fontId="8" fillId="0" borderId="49" xfId="0" applyNumberFormat="1" applyFont="1" applyBorder="1" applyAlignment="1">
      <alignment horizontal="left" vertical="center"/>
    </xf>
    <xf numFmtId="0" fontId="50" fillId="0" borderId="0" xfId="0" applyFont="1"/>
    <xf numFmtId="0" fontId="51" fillId="0" borderId="0" xfId="0" applyFont="1"/>
    <xf numFmtId="0" fontId="52" fillId="0" borderId="0" xfId="0" applyFont="1" applyAlignment="1">
      <alignment vertical="center"/>
    </xf>
    <xf numFmtId="0" fontId="8" fillId="0" borderId="108" xfId="0" applyFont="1" applyBorder="1"/>
    <xf numFmtId="0" fontId="12" fillId="0" borderId="0" xfId="0" applyFont="1" applyAlignment="1">
      <alignment horizontal="center" vertical="center" wrapText="1"/>
    </xf>
    <xf numFmtId="0" fontId="8" fillId="0" borderId="54" xfId="0" applyFont="1" applyBorder="1" applyAlignment="1">
      <alignment vertical="center"/>
    </xf>
    <xf numFmtId="0" fontId="13" fillId="0" borderId="16" xfId="0" applyFont="1" applyBorder="1" applyAlignment="1">
      <alignment horizontal="center" vertical="center"/>
    </xf>
    <xf numFmtId="0" fontId="13" fillId="0" borderId="55" xfId="0" applyFont="1" applyBorder="1" applyAlignment="1">
      <alignment horizontal="center" vertical="center"/>
    </xf>
    <xf numFmtId="0" fontId="13" fillId="0" borderId="109" xfId="0" applyFont="1" applyBorder="1" applyAlignment="1">
      <alignment horizontal="center" vertical="center"/>
    </xf>
    <xf numFmtId="0" fontId="13" fillId="0" borderId="16" xfId="0" applyFont="1" applyBorder="1" applyAlignment="1">
      <alignment horizontal="center"/>
    </xf>
    <xf numFmtId="0" fontId="13" fillId="0" borderId="55" xfId="0" applyFont="1" applyBorder="1" applyAlignment="1">
      <alignment horizontal="center"/>
    </xf>
    <xf numFmtId="0" fontId="13" fillId="0" borderId="109" xfId="0" applyFont="1" applyBorder="1" applyAlignment="1">
      <alignment horizontal="center"/>
    </xf>
    <xf numFmtId="0" fontId="13" fillId="0" borderId="101" xfId="0" applyFont="1" applyBorder="1" applyAlignment="1">
      <alignment horizontal="center"/>
    </xf>
    <xf numFmtId="0" fontId="13" fillId="0" borderId="103" xfId="0" applyFont="1" applyBorder="1" applyAlignment="1">
      <alignment horizontal="center"/>
    </xf>
    <xf numFmtId="0" fontId="13" fillId="0" borderId="28" xfId="0" applyFont="1" applyBorder="1" applyAlignment="1">
      <alignment horizontal="center"/>
    </xf>
    <xf numFmtId="0" fontId="13" fillId="0" borderId="100" xfId="0" applyFont="1" applyBorder="1" applyAlignment="1">
      <alignment horizontal="center"/>
    </xf>
    <xf numFmtId="0" fontId="13" fillId="0" borderId="24" xfId="0" applyFont="1" applyBorder="1" applyAlignment="1">
      <alignment horizontal="center"/>
    </xf>
    <xf numFmtId="0" fontId="19" fillId="0" borderId="54" xfId="0" applyFont="1" applyBorder="1" applyAlignment="1">
      <alignment horizontal="right" vertical="center"/>
    </xf>
    <xf numFmtId="0" fontId="19" fillId="0" borderId="54" xfId="0" applyFont="1" applyBorder="1" applyAlignment="1">
      <alignment vertical="center"/>
    </xf>
    <xf numFmtId="0" fontId="9" fillId="0" borderId="25" xfId="0" applyFont="1" applyBorder="1" applyAlignment="1">
      <alignment horizontal="right" vertical="center"/>
    </xf>
    <xf numFmtId="0" fontId="8" fillId="7" borderId="9" xfId="7" applyFont="1" applyFill="1" applyBorder="1">
      <alignment vertical="center"/>
    </xf>
    <xf numFmtId="0" fontId="8" fillId="7" borderId="16" xfId="7" applyFont="1" applyFill="1" applyBorder="1">
      <alignment vertical="center"/>
    </xf>
    <xf numFmtId="2" fontId="8" fillId="5" borderId="112" xfId="7" applyNumberFormat="1" applyFont="1" applyFill="1" applyBorder="1">
      <alignment vertical="center"/>
    </xf>
    <xf numFmtId="192" fontId="8" fillId="0" borderId="21" xfId="0" applyNumberFormat="1" applyFont="1" applyBorder="1"/>
    <xf numFmtId="0" fontId="13" fillId="0" borderId="34" xfId="0" applyFont="1" applyBorder="1" applyAlignment="1">
      <alignment horizontal="center" vertical="center"/>
    </xf>
    <xf numFmtId="0" fontId="13" fillId="0" borderId="39" xfId="0" applyFont="1" applyBorder="1" applyAlignment="1">
      <alignment horizontal="center"/>
    </xf>
    <xf numFmtId="176" fontId="51" fillId="9" borderId="2" xfId="0" applyNumberFormat="1" applyFont="1" applyFill="1" applyBorder="1"/>
    <xf numFmtId="2" fontId="8" fillId="0" borderId="0" xfId="0" applyNumberFormat="1" applyFont="1" applyAlignment="1">
      <alignment vertical="center"/>
    </xf>
    <xf numFmtId="176" fontId="51" fillId="0" borderId="120" xfId="0" applyNumberFormat="1" applyFont="1" applyBorder="1"/>
    <xf numFmtId="0" fontId="51" fillId="0" borderId="27" xfId="0" applyFont="1" applyBorder="1" applyAlignment="1">
      <alignment horizontal="right" vertical="center"/>
    </xf>
    <xf numFmtId="2" fontId="51" fillId="0" borderId="21" xfId="0" applyNumberFormat="1" applyFont="1" applyBorder="1" applyAlignment="1">
      <alignment horizontal="right" vertical="center"/>
    </xf>
    <xf numFmtId="0" fontId="25" fillId="0" borderId="0" xfId="0" applyFont="1"/>
    <xf numFmtId="0" fontId="12" fillId="0" borderId="27" xfId="7" applyFont="1" applyBorder="1">
      <alignment vertical="center"/>
    </xf>
    <xf numFmtId="0" fontId="56" fillId="0" borderId="0" xfId="0" applyFont="1"/>
    <xf numFmtId="0" fontId="25" fillId="0" borderId="27" xfId="7" applyFont="1" applyBorder="1">
      <alignment vertical="center"/>
    </xf>
    <xf numFmtId="0" fontId="25" fillId="0" borderId="26" xfId="0" applyFont="1" applyBorder="1"/>
    <xf numFmtId="0" fontId="12" fillId="0" borderId="27" xfId="0" applyFont="1" applyBorder="1"/>
    <xf numFmtId="1" fontId="11" fillId="0" borderId="28" xfId="0" applyNumberFormat="1" applyFont="1" applyBorder="1" applyAlignment="1">
      <alignment vertical="center"/>
    </xf>
    <xf numFmtId="0" fontId="13" fillId="0" borderId="0" xfId="0" applyFont="1" applyAlignment="1">
      <alignment horizontal="right" vertical="top"/>
    </xf>
    <xf numFmtId="0" fontId="13" fillId="0" borderId="0" xfId="0" applyFont="1" applyAlignment="1">
      <alignment horizontal="left"/>
    </xf>
    <xf numFmtId="1" fontId="33" fillId="0" borderId="8" xfId="0" applyNumberFormat="1" applyFont="1" applyBorder="1" applyAlignment="1">
      <alignment horizontal="right"/>
    </xf>
    <xf numFmtId="1" fontId="33" fillId="0" borderId="28" xfId="0" applyNumberFormat="1" applyFont="1" applyBorder="1" applyAlignment="1">
      <alignment horizontal="right" vertical="center"/>
    </xf>
    <xf numFmtId="0" fontId="11" fillId="7" borderId="21" xfId="0" applyFont="1" applyFill="1" applyBorder="1"/>
    <xf numFmtId="0" fontId="25" fillId="0" borderId="0" xfId="7" applyFont="1" applyAlignment="1">
      <alignment horizontal="left" vertical="center"/>
    </xf>
    <xf numFmtId="0" fontId="19" fillId="0" borderId="22" xfId="0" applyFont="1" applyBorder="1" applyAlignment="1">
      <alignment horizontal="right" vertical="center"/>
    </xf>
    <xf numFmtId="0" fontId="8" fillId="0" borderId="22" xfId="0" applyFont="1" applyBorder="1" applyAlignment="1">
      <alignment horizontal="center" vertical="center"/>
    </xf>
    <xf numFmtId="0" fontId="19" fillId="0" borderId="9" xfId="0" applyFont="1" applyBorder="1" applyAlignment="1">
      <alignment vertical="center"/>
    </xf>
    <xf numFmtId="1" fontId="8" fillId="0" borderId="4" xfId="0" applyNumberFormat="1" applyFont="1" applyBorder="1" applyAlignment="1">
      <alignment horizontal="center"/>
    </xf>
    <xf numFmtId="0" fontId="8" fillId="2" borderId="2" xfId="0" applyFont="1" applyFill="1" applyBorder="1" applyAlignment="1">
      <alignment horizontal="center" vertical="center"/>
    </xf>
    <xf numFmtId="1" fontId="8" fillId="2" borderId="4" xfId="0" applyNumberFormat="1" applyFont="1" applyFill="1" applyBorder="1" applyAlignment="1">
      <alignment horizontal="center"/>
    </xf>
    <xf numFmtId="178" fontId="8" fillId="2" borderId="2" xfId="0" applyNumberFormat="1" applyFont="1" applyFill="1" applyBorder="1" applyAlignment="1">
      <alignment horizontal="center" vertical="center"/>
    </xf>
    <xf numFmtId="0" fontId="11" fillId="7" borderId="15" xfId="0" applyFont="1" applyFill="1" applyBorder="1"/>
    <xf numFmtId="0" fontId="12" fillId="0" borderId="101" xfId="0" applyFont="1" applyBorder="1" applyAlignment="1">
      <alignment horizontal="right"/>
    </xf>
    <xf numFmtId="0" fontId="8" fillId="0" borderId="58" xfId="0" applyFont="1" applyBorder="1" applyAlignment="1">
      <alignment horizontal="left"/>
    </xf>
    <xf numFmtId="0" fontId="8" fillId="0" borderId="59" xfId="0" applyFont="1" applyBorder="1" applyAlignment="1">
      <alignment horizontal="center"/>
    </xf>
    <xf numFmtId="1" fontId="8" fillId="0" borderId="106" xfId="0" applyNumberFormat="1" applyFont="1" applyBorder="1" applyAlignment="1">
      <alignment horizontal="center"/>
    </xf>
    <xf numFmtId="0" fontId="12" fillId="0" borderId="103" xfId="0" applyFont="1" applyBorder="1" applyAlignment="1">
      <alignment horizontal="right"/>
    </xf>
    <xf numFmtId="0" fontId="8" fillId="2" borderId="56" xfId="0" applyFont="1" applyFill="1" applyBorder="1"/>
    <xf numFmtId="0" fontId="12" fillId="2" borderId="101" xfId="0" applyFont="1" applyFill="1" applyBorder="1" applyAlignment="1">
      <alignment horizontal="right"/>
    </xf>
    <xf numFmtId="1" fontId="8" fillId="0" borderId="21" xfId="0" applyNumberFormat="1" applyFont="1" applyBorder="1" applyAlignment="1">
      <alignment horizontal="center"/>
    </xf>
    <xf numFmtId="0" fontId="11" fillId="2" borderId="14" xfId="0" applyFont="1" applyFill="1" applyBorder="1"/>
    <xf numFmtId="1" fontId="8" fillId="0" borderId="0" xfId="0" applyNumberFormat="1" applyFont="1" applyAlignment="1">
      <alignment horizontal="center"/>
    </xf>
    <xf numFmtId="0" fontId="8" fillId="0" borderId="1" xfId="0" applyFont="1" applyBorder="1" applyAlignment="1">
      <alignment horizontal="center"/>
    </xf>
    <xf numFmtId="1" fontId="11" fillId="0" borderId="10" xfId="0" applyNumberFormat="1" applyFont="1" applyBorder="1" applyAlignment="1">
      <alignment horizontal="center"/>
    </xf>
    <xf numFmtId="1" fontId="11" fillId="0" borderId="1" xfId="0" applyNumberFormat="1" applyFont="1" applyBorder="1" applyAlignment="1">
      <alignment horizontal="center"/>
    </xf>
    <xf numFmtId="1" fontId="14" fillId="8" borderId="1" xfId="0" applyNumberFormat="1" applyFont="1" applyFill="1" applyBorder="1" applyAlignment="1">
      <alignment horizontal="right"/>
    </xf>
    <xf numFmtId="0" fontId="9" fillId="0" borderId="0" xfId="7" applyFont="1" applyAlignment="1">
      <alignment horizontal="left" vertical="center"/>
    </xf>
    <xf numFmtId="0" fontId="19" fillId="0" borderId="2" xfId="0" applyFont="1" applyBorder="1"/>
    <xf numFmtId="0" fontId="8" fillId="2" borderId="11" xfId="0" applyFont="1" applyFill="1" applyBorder="1" applyAlignment="1">
      <alignment horizontal="right"/>
    </xf>
    <xf numFmtId="0" fontId="8" fillId="0" borderId="10" xfId="0" applyFont="1" applyBorder="1" applyAlignment="1">
      <alignment horizontal="right"/>
    </xf>
    <xf numFmtId="0" fontId="8" fillId="2" borderId="1" xfId="0" applyFont="1" applyFill="1" applyBorder="1" applyAlignment="1">
      <alignment horizontal="right"/>
    </xf>
    <xf numFmtId="182" fontId="11" fillId="0" borderId="21" xfId="0" applyNumberFormat="1" applyFont="1" applyBorder="1"/>
    <xf numFmtId="1" fontId="8" fillId="0" borderId="0" xfId="0" applyNumberFormat="1" applyFont="1" applyAlignment="1">
      <alignment horizontal="left"/>
    </xf>
    <xf numFmtId="0" fontId="8" fillId="9" borderId="80" xfId="0" applyFont="1" applyFill="1" applyBorder="1"/>
    <xf numFmtId="0" fontId="8" fillId="9" borderId="1" xfId="0" applyFont="1" applyFill="1" applyBorder="1" applyAlignment="1">
      <alignment horizontal="right"/>
    </xf>
    <xf numFmtId="0" fontId="8" fillId="9" borderId="14" xfId="0" applyFont="1" applyFill="1" applyBorder="1" applyAlignment="1">
      <alignment horizontal="right"/>
    </xf>
    <xf numFmtId="0" fontId="8" fillId="9" borderId="60" xfId="0" applyFont="1" applyFill="1" applyBorder="1" applyAlignment="1">
      <alignment horizontal="right"/>
    </xf>
    <xf numFmtId="180" fontId="8" fillId="9" borderId="1" xfId="0" applyNumberFormat="1" applyFont="1" applyFill="1" applyBorder="1" applyAlignment="1">
      <alignment horizontal="right"/>
    </xf>
    <xf numFmtId="185" fontId="11" fillId="0" borderId="21" xfId="0" applyNumberFormat="1" applyFont="1" applyBorder="1" applyAlignment="1">
      <alignment horizontal="right"/>
    </xf>
    <xf numFmtId="185" fontId="8" fillId="0" borderId="21" xfId="0" applyNumberFormat="1" applyFont="1" applyBorder="1" applyAlignment="1">
      <alignment horizontal="right"/>
    </xf>
    <xf numFmtId="189" fontId="11" fillId="0" borderId="4" xfId="0" applyNumberFormat="1" applyFont="1" applyBorder="1" applyAlignment="1">
      <alignment horizontal="right" vertical="center"/>
    </xf>
    <xf numFmtId="2" fontId="33" fillId="6" borderId="2" xfId="0" applyNumberFormat="1" applyFont="1" applyFill="1" applyBorder="1"/>
    <xf numFmtId="0" fontId="8" fillId="5" borderId="2" xfId="7" applyFont="1" applyFill="1" applyBorder="1" applyAlignment="1">
      <alignment horizontal="center" vertical="center" wrapText="1"/>
    </xf>
    <xf numFmtId="0" fontId="8" fillId="5" borderId="2" xfId="7" applyFont="1" applyFill="1" applyBorder="1" applyAlignment="1">
      <alignment horizontal="center" vertical="center"/>
    </xf>
    <xf numFmtId="0" fontId="8" fillId="0" borderId="4" xfId="0" applyFont="1" applyBorder="1"/>
    <xf numFmtId="0" fontId="8" fillId="0" borderId="28" xfId="0" applyFont="1" applyBorder="1"/>
    <xf numFmtId="0" fontId="61" fillId="0" borderId="20" xfId="0" applyFont="1" applyBorder="1" applyAlignment="1">
      <alignment horizontal="right" vertical="center"/>
    </xf>
    <xf numFmtId="0" fontId="33" fillId="0" borderId="20" xfId="0" applyFont="1" applyBorder="1" applyAlignment="1">
      <alignment horizontal="left" vertical="center"/>
    </xf>
    <xf numFmtId="0" fontId="62" fillId="0" borderId="20" xfId="0" applyFont="1" applyBorder="1" applyAlignment="1">
      <alignment horizontal="right" vertical="center"/>
    </xf>
    <xf numFmtId="176" fontId="33" fillId="0" borderId="0" xfId="0" applyNumberFormat="1" applyFont="1"/>
    <xf numFmtId="189" fontId="33" fillId="0" borderId="0" xfId="0" applyNumberFormat="1" applyFont="1"/>
    <xf numFmtId="176" fontId="51" fillId="9" borderId="4" xfId="0" applyNumberFormat="1" applyFont="1" applyFill="1" applyBorder="1"/>
    <xf numFmtId="176" fontId="8" fillId="9" borderId="4" xfId="0" applyNumberFormat="1" applyFont="1" applyFill="1" applyBorder="1"/>
    <xf numFmtId="0" fontId="9" fillId="7" borderId="0" xfId="0" applyFont="1" applyFill="1"/>
    <xf numFmtId="0" fontId="51" fillId="0" borderId="127" xfId="0" applyFont="1" applyBorder="1" applyAlignment="1">
      <alignment horizontal="center"/>
    </xf>
    <xf numFmtId="0" fontId="12" fillId="7" borderId="128" xfId="7" applyFont="1" applyFill="1" applyBorder="1" applyAlignment="1">
      <alignment horizontal="center" vertical="center"/>
    </xf>
    <xf numFmtId="0" fontId="19" fillId="7" borderId="128" xfId="7" applyFont="1" applyFill="1" applyBorder="1" applyAlignment="1">
      <alignment horizontal="center" vertical="center"/>
    </xf>
    <xf numFmtId="0" fontId="19" fillId="0" borderId="128" xfId="7" applyFont="1" applyBorder="1">
      <alignment vertical="center"/>
    </xf>
    <xf numFmtId="189" fontId="19" fillId="0" borderId="128" xfId="7" applyNumberFormat="1" applyFont="1" applyBorder="1">
      <alignment vertical="center"/>
    </xf>
    <xf numFmtId="2" fontId="19" fillId="0" borderId="128" xfId="7" applyNumberFormat="1" applyFont="1" applyBorder="1">
      <alignment vertical="center"/>
    </xf>
    <xf numFmtId="2" fontId="54" fillId="5" borderId="128" xfId="7" applyNumberFormat="1" applyFont="1" applyFill="1" applyBorder="1">
      <alignment vertical="center"/>
    </xf>
    <xf numFmtId="38" fontId="60" fillId="0" borderId="128" xfId="7" applyNumberFormat="1" applyFont="1" applyBorder="1">
      <alignment vertical="center"/>
    </xf>
    <xf numFmtId="38" fontId="54" fillId="0" borderId="128" xfId="7" applyNumberFormat="1" applyFont="1" applyBorder="1">
      <alignment vertical="center"/>
    </xf>
    <xf numFmtId="38" fontId="54" fillId="7" borderId="128" xfId="7" applyNumberFormat="1" applyFont="1" applyFill="1" applyBorder="1">
      <alignment vertical="center"/>
    </xf>
    <xf numFmtId="194" fontId="54" fillId="0" borderId="128" xfId="7" applyNumberFormat="1" applyFont="1" applyBorder="1">
      <alignment vertical="center"/>
    </xf>
    <xf numFmtId="0" fontId="8" fillId="0" borderId="130" xfId="0" applyFont="1" applyBorder="1"/>
    <xf numFmtId="0" fontId="25" fillId="18" borderId="128" xfId="0" applyFont="1" applyFill="1" applyBorder="1" applyAlignment="1">
      <alignment horizontal="center" vertical="center"/>
    </xf>
    <xf numFmtId="0" fontId="19" fillId="7" borderId="128" xfId="0" applyFont="1" applyFill="1" applyBorder="1" applyAlignment="1">
      <alignment horizontal="center" vertical="center"/>
    </xf>
    <xf numFmtId="0" fontId="19" fillId="0" borderId="128" xfId="0" applyFont="1" applyBorder="1" applyAlignment="1">
      <alignment vertical="center"/>
    </xf>
    <xf numFmtId="189" fontId="54" fillId="5" borderId="128" xfId="0" applyNumberFormat="1" applyFont="1" applyFill="1" applyBorder="1" applyAlignment="1">
      <alignment vertical="center"/>
    </xf>
    <xf numFmtId="0" fontId="59" fillId="0" borderId="128" xfId="0" applyFont="1" applyBorder="1" applyAlignment="1">
      <alignment vertical="center"/>
    </xf>
    <xf numFmtId="1" fontId="54" fillId="0" borderId="128" xfId="0" applyNumberFormat="1" applyFont="1" applyBorder="1" applyAlignment="1">
      <alignment vertical="center"/>
    </xf>
    <xf numFmtId="0" fontId="54" fillId="0" borderId="128" xfId="0" applyFont="1" applyBorder="1" applyAlignment="1">
      <alignment vertical="center"/>
    </xf>
    <xf numFmtId="189" fontId="51" fillId="7" borderId="128" xfId="0" applyNumberFormat="1" applyFont="1" applyFill="1" applyBorder="1"/>
    <xf numFmtId="0" fontId="12" fillId="0" borderId="130" xfId="0" applyFont="1" applyBorder="1" applyAlignment="1">
      <alignment horizontal="center"/>
    </xf>
    <xf numFmtId="0" fontId="46" fillId="18" borderId="128" xfId="0" applyFont="1" applyFill="1" applyBorder="1" applyAlignment="1">
      <alignment horizontal="center" vertical="center"/>
    </xf>
    <xf numFmtId="0" fontId="8" fillId="0" borderId="128" xfId="0" applyFont="1" applyBorder="1"/>
    <xf numFmtId="176" fontId="14" fillId="5" borderId="128" xfId="0" applyNumberFormat="1" applyFont="1" applyFill="1" applyBorder="1"/>
    <xf numFmtId="1" fontId="51" fillId="0" borderId="128" xfId="0" applyNumberFormat="1" applyFont="1" applyBorder="1"/>
    <xf numFmtId="0" fontId="53" fillId="0" borderId="128" xfId="0" applyFont="1" applyBorder="1"/>
    <xf numFmtId="38" fontId="8" fillId="0" borderId="0" xfId="7" applyNumberFormat="1" applyFont="1">
      <alignment vertical="center"/>
    </xf>
    <xf numFmtId="38" fontId="8" fillId="0" borderId="0" xfId="9" applyNumberFormat="1" applyFont="1">
      <alignment vertical="center"/>
    </xf>
    <xf numFmtId="9" fontId="8" fillId="0" borderId="0" xfId="7" applyNumberFormat="1" applyFont="1">
      <alignment vertical="center"/>
    </xf>
    <xf numFmtId="194" fontId="8" fillId="0" borderId="0" xfId="7" applyNumberFormat="1" applyFont="1">
      <alignment vertical="center"/>
    </xf>
    <xf numFmtId="9" fontId="8" fillId="0" borderId="0" xfId="9" applyFont="1">
      <alignment vertical="center"/>
    </xf>
    <xf numFmtId="40" fontId="8" fillId="0" borderId="0" xfId="7" applyNumberFormat="1" applyFont="1">
      <alignment vertical="center"/>
    </xf>
    <xf numFmtId="191" fontId="8" fillId="0" borderId="0" xfId="7" applyNumberFormat="1" applyFont="1">
      <alignment vertical="center"/>
    </xf>
    <xf numFmtId="194" fontId="8" fillId="0" borderId="0" xfId="8" applyNumberFormat="1" applyFont="1">
      <alignment vertical="center"/>
    </xf>
    <xf numFmtId="189" fontId="8" fillId="0" borderId="0" xfId="7" applyNumberFormat="1" applyFont="1" applyAlignment="1">
      <alignment horizontal="right" vertical="center"/>
    </xf>
    <xf numFmtId="38" fontId="8" fillId="0" borderId="0" xfId="8" applyFont="1" applyAlignment="1">
      <alignment horizontal="right" vertical="center"/>
    </xf>
    <xf numFmtId="194" fontId="63" fillId="0" borderId="2" xfId="8" applyNumberFormat="1" applyFont="1" applyBorder="1">
      <alignment vertical="center"/>
    </xf>
    <xf numFmtId="0" fontId="63" fillId="0" borderId="2" xfId="7" applyFont="1" applyBorder="1">
      <alignment vertical="center"/>
    </xf>
    <xf numFmtId="0" fontId="40" fillId="0" borderId="2" xfId="7" applyFont="1" applyBorder="1">
      <alignment vertical="center"/>
    </xf>
    <xf numFmtId="0" fontId="16" fillId="0" borderId="2" xfId="7" applyFont="1" applyBorder="1">
      <alignment vertical="center"/>
    </xf>
    <xf numFmtId="0" fontId="8" fillId="19" borderId="2" xfId="7" applyFont="1" applyFill="1" applyBorder="1">
      <alignment vertical="center"/>
    </xf>
    <xf numFmtId="192" fontId="8" fillId="19" borderId="2" xfId="7" applyNumberFormat="1" applyFont="1" applyFill="1" applyBorder="1">
      <alignment vertical="center"/>
    </xf>
    <xf numFmtId="38" fontId="16" fillId="0" borderId="2" xfId="8" applyFont="1" applyBorder="1">
      <alignment vertical="center"/>
    </xf>
    <xf numFmtId="0" fontId="8" fillId="0" borderId="2" xfId="7" quotePrefix="1" applyFont="1" applyBorder="1" applyAlignment="1">
      <alignment horizontal="left" vertical="center"/>
    </xf>
    <xf numFmtId="38" fontId="8" fillId="0" borderId="2" xfId="7" applyNumberFormat="1" applyFont="1" applyBorder="1" applyAlignment="1">
      <alignment horizontal="center" vertical="center"/>
    </xf>
    <xf numFmtId="38" fontId="8" fillId="0" borderId="2" xfId="7" applyNumberFormat="1" applyFont="1" applyBorder="1" applyAlignment="1">
      <alignment horizontal="center" vertical="center" wrapText="1"/>
    </xf>
    <xf numFmtId="0" fontId="8" fillId="19" borderId="0" xfId="7" applyFont="1" applyFill="1" applyAlignment="1">
      <alignment horizontal="right" vertical="center"/>
    </xf>
    <xf numFmtId="194" fontId="8" fillId="0" borderId="2" xfId="7" applyNumberFormat="1" applyFont="1" applyBorder="1" applyAlignment="1">
      <alignment horizontal="center" vertical="center"/>
    </xf>
    <xf numFmtId="38" fontId="8" fillId="0" borderId="2" xfId="8" applyFont="1" applyBorder="1" applyAlignment="1">
      <alignment horizontal="center" vertical="center"/>
    </xf>
    <xf numFmtId="194" fontId="8" fillId="0" borderId="2" xfId="7" applyNumberFormat="1" applyFont="1" applyBorder="1">
      <alignment vertical="center"/>
    </xf>
    <xf numFmtId="38" fontId="8" fillId="0" borderId="2" xfId="8" applyFont="1" applyBorder="1" applyAlignment="1">
      <alignment horizontal="center" vertical="center" wrapText="1"/>
    </xf>
    <xf numFmtId="0" fontId="8" fillId="0" borderId="4" xfId="7" applyFont="1" applyBorder="1" applyAlignment="1">
      <alignment horizontal="right" vertical="center"/>
    </xf>
    <xf numFmtId="0" fontId="64" fillId="0" borderId="0" xfId="7" applyFont="1">
      <alignment vertical="center"/>
    </xf>
    <xf numFmtId="0" fontId="65" fillId="0" borderId="0" xfId="0" applyFont="1"/>
    <xf numFmtId="2" fontId="64" fillId="11" borderId="21" xfId="0" applyNumberFormat="1" applyFont="1" applyFill="1" applyBorder="1"/>
    <xf numFmtId="0" fontId="64" fillId="0" borderId="0" xfId="0" applyFont="1"/>
    <xf numFmtId="14" fontId="67" fillId="0" borderId="0" xfId="7" applyNumberFormat="1" applyFont="1">
      <alignment vertical="center"/>
    </xf>
    <xf numFmtId="0" fontId="5" fillId="0" borderId="2" xfId="7" applyBorder="1">
      <alignment vertical="center"/>
    </xf>
    <xf numFmtId="0" fontId="67" fillId="0" borderId="2" xfId="7" applyFont="1" applyBorder="1" applyAlignment="1">
      <alignment horizontal="left" vertical="center"/>
    </xf>
    <xf numFmtId="189" fontId="5" fillId="0" borderId="2" xfId="7" applyNumberFormat="1" applyBorder="1">
      <alignment vertical="center"/>
    </xf>
    <xf numFmtId="0" fontId="67" fillId="0" borderId="2" xfId="7" applyFont="1" applyBorder="1">
      <alignment vertical="center"/>
    </xf>
    <xf numFmtId="0" fontId="68" fillId="0" borderId="2" xfId="7" applyFont="1" applyBorder="1" applyAlignment="1">
      <alignment horizontal="left" vertical="center"/>
    </xf>
    <xf numFmtId="0" fontId="68" fillId="0" borderId="2" xfId="7" applyFont="1" applyBorder="1">
      <alignment vertical="center"/>
    </xf>
    <xf numFmtId="0" fontId="5" fillId="0" borderId="26" xfId="7" applyBorder="1">
      <alignment vertical="center"/>
    </xf>
    <xf numFmtId="0" fontId="5" fillId="0" borderId="2" xfId="7" applyBorder="1" applyAlignment="1">
      <alignment horizontal="left" vertical="center"/>
    </xf>
    <xf numFmtId="0" fontId="68" fillId="0" borderId="0" xfId="7" applyFont="1">
      <alignment vertical="center"/>
    </xf>
    <xf numFmtId="2" fontId="5" fillId="0" borderId="2" xfId="7" applyNumberFormat="1" applyBorder="1">
      <alignment vertical="center"/>
    </xf>
    <xf numFmtId="0" fontId="5" fillId="0" borderId="2" xfId="7" applyBorder="1" applyAlignment="1">
      <alignment horizontal="center" vertical="center"/>
    </xf>
    <xf numFmtId="0" fontId="5" fillId="0" borderId="0" xfId="7" applyAlignment="1">
      <alignment horizontal="left" vertical="center"/>
    </xf>
    <xf numFmtId="0" fontId="5" fillId="0" borderId="0" xfId="7" applyAlignment="1">
      <alignment horizontal="right" vertical="center"/>
    </xf>
    <xf numFmtId="0" fontId="5" fillId="0" borderId="4" xfId="7" applyBorder="1" applyAlignment="1">
      <alignment horizontal="center" vertical="center"/>
    </xf>
    <xf numFmtId="189" fontId="5" fillId="0" borderId="0" xfId="7" applyNumberFormat="1">
      <alignment vertical="center"/>
    </xf>
    <xf numFmtId="1" fontId="5" fillId="0" borderId="0" xfId="7" applyNumberFormat="1">
      <alignment vertical="center"/>
    </xf>
    <xf numFmtId="38" fontId="0" fillId="0" borderId="0" xfId="8" applyFont="1" applyBorder="1">
      <alignment vertical="center"/>
    </xf>
    <xf numFmtId="9" fontId="5" fillId="0" borderId="0" xfId="7" applyNumberFormat="1">
      <alignment vertical="center"/>
    </xf>
    <xf numFmtId="38" fontId="0" fillId="0" borderId="0" xfId="8" applyFont="1">
      <alignment vertical="center"/>
    </xf>
    <xf numFmtId="40" fontId="0" fillId="0" borderId="0" xfId="8" applyNumberFormat="1" applyFont="1">
      <alignment vertical="center"/>
    </xf>
    <xf numFmtId="194" fontId="0" fillId="0" borderId="0" xfId="8" applyNumberFormat="1" applyFont="1">
      <alignment vertical="center"/>
    </xf>
    <xf numFmtId="0" fontId="5" fillId="0" borderId="2" xfId="7" applyBorder="1" applyAlignment="1">
      <alignment horizontal="center" vertical="center" wrapText="1"/>
    </xf>
    <xf numFmtId="194" fontId="0" fillId="0" borderId="2" xfId="8" applyNumberFormat="1" applyFont="1" applyBorder="1" applyAlignment="1">
      <alignment horizontal="center" vertical="center" wrapText="1"/>
    </xf>
    <xf numFmtId="194" fontId="5" fillId="0" borderId="2" xfId="7" applyNumberFormat="1" applyBorder="1">
      <alignment vertical="center"/>
    </xf>
    <xf numFmtId="38" fontId="0" fillId="0" borderId="2" xfId="8" applyFont="1" applyBorder="1">
      <alignment vertical="center"/>
    </xf>
    <xf numFmtId="194" fontId="0" fillId="0" borderId="2" xfId="8" applyNumberFormat="1" applyFont="1" applyBorder="1">
      <alignment vertical="center"/>
    </xf>
    <xf numFmtId="194" fontId="0" fillId="0" borderId="0" xfId="8" applyNumberFormat="1" applyFont="1" applyBorder="1">
      <alignment vertical="center"/>
    </xf>
    <xf numFmtId="194" fontId="5" fillId="0" borderId="0" xfId="7" applyNumberFormat="1">
      <alignment vertical="center"/>
    </xf>
    <xf numFmtId="0" fontId="5" fillId="0" borderId="2" xfId="7" applyBorder="1" applyAlignment="1">
      <alignment horizontal="right" vertical="center"/>
    </xf>
    <xf numFmtId="194" fontId="69" fillId="0" borderId="2" xfId="8" applyNumberFormat="1" applyFont="1" applyBorder="1">
      <alignment vertical="center"/>
    </xf>
    <xf numFmtId="0" fontId="69" fillId="0" borderId="2" xfId="7" applyFont="1" applyBorder="1">
      <alignment vertical="center"/>
    </xf>
    <xf numFmtId="0" fontId="5" fillId="0" borderId="4" xfId="7" applyBorder="1" applyAlignment="1">
      <alignment horizontal="center" vertical="center" wrapText="1"/>
    </xf>
    <xf numFmtId="0" fontId="5" fillId="0" borderId="4" xfId="7" applyBorder="1">
      <alignment vertical="center"/>
    </xf>
    <xf numFmtId="38" fontId="0" fillId="0" borderId="2" xfId="8" applyFont="1" applyFill="1" applyBorder="1">
      <alignment vertical="center"/>
    </xf>
    <xf numFmtId="194" fontId="0" fillId="0" borderId="0" xfId="8" applyNumberFormat="1" applyFont="1" applyFill="1">
      <alignment vertical="center"/>
    </xf>
    <xf numFmtId="0" fontId="70" fillId="0" borderId="2" xfId="7" applyFont="1" applyBorder="1">
      <alignment vertical="center"/>
    </xf>
    <xf numFmtId="0" fontId="5" fillId="19" borderId="0" xfId="7" applyFill="1" applyAlignment="1">
      <alignment horizontal="right" vertical="center"/>
    </xf>
    <xf numFmtId="191" fontId="5" fillId="0" borderId="2" xfId="7" applyNumberFormat="1" applyBorder="1">
      <alignment vertical="center"/>
    </xf>
    <xf numFmtId="38" fontId="5" fillId="0" borderId="2" xfId="7" applyNumberFormat="1" applyBorder="1">
      <alignment vertical="center"/>
    </xf>
    <xf numFmtId="0" fontId="5" fillId="0" borderId="2" xfId="7" quotePrefix="1" applyBorder="1" applyAlignment="1">
      <alignment horizontal="center" vertical="center"/>
    </xf>
    <xf numFmtId="0" fontId="71" fillId="0" borderId="2" xfId="7" applyFont="1" applyBorder="1">
      <alignment vertical="center"/>
    </xf>
    <xf numFmtId="196" fontId="0" fillId="0" borderId="2" xfId="8" applyNumberFormat="1" applyFont="1" applyBorder="1">
      <alignment vertical="center"/>
    </xf>
    <xf numFmtId="197" fontId="0" fillId="0" borderId="2" xfId="8" applyNumberFormat="1" applyFont="1" applyBorder="1">
      <alignment vertical="center"/>
    </xf>
    <xf numFmtId="196" fontId="5" fillId="0" borderId="2" xfId="7" applyNumberFormat="1" applyBorder="1">
      <alignment vertical="center"/>
    </xf>
    <xf numFmtId="197" fontId="5" fillId="0" borderId="2" xfId="7" applyNumberFormat="1" applyBorder="1">
      <alignment vertical="center"/>
    </xf>
    <xf numFmtId="0" fontId="72" fillId="0" borderId="2" xfId="7" applyFont="1" applyBorder="1">
      <alignment vertical="center"/>
    </xf>
    <xf numFmtId="195" fontId="5" fillId="0" borderId="2" xfId="7" applyNumberFormat="1" applyBorder="1">
      <alignment vertical="center"/>
    </xf>
    <xf numFmtId="40" fontId="0" fillId="0" borderId="2" xfId="8" applyNumberFormat="1" applyFont="1" applyBorder="1">
      <alignment vertical="center"/>
    </xf>
    <xf numFmtId="2" fontId="5" fillId="0" borderId="0" xfId="7" applyNumberFormat="1">
      <alignment vertical="center"/>
    </xf>
    <xf numFmtId="0" fontId="5" fillId="0" borderId="2" xfId="7" applyBorder="1" applyAlignment="1">
      <alignment vertical="center" wrapText="1"/>
    </xf>
    <xf numFmtId="38" fontId="0" fillId="0" borderId="2" xfId="8" applyFont="1" applyBorder="1" applyAlignment="1">
      <alignment horizontal="center" vertical="center" wrapText="1"/>
    </xf>
    <xf numFmtId="38" fontId="5" fillId="0" borderId="2" xfId="7" applyNumberFormat="1" applyBorder="1" applyAlignment="1">
      <alignment horizontal="center" vertical="center"/>
    </xf>
    <xf numFmtId="38" fontId="5" fillId="0" borderId="2" xfId="7" applyNumberFormat="1" applyBorder="1" applyAlignment="1">
      <alignment horizontal="center" vertical="center" wrapText="1"/>
    </xf>
    <xf numFmtId="0" fontId="5" fillId="0" borderId="26" xfId="7" applyBorder="1" applyAlignment="1">
      <alignment horizontal="center" vertical="center" wrapText="1"/>
    </xf>
    <xf numFmtId="38" fontId="0" fillId="0" borderId="2" xfId="8" applyFont="1" applyBorder="1" applyAlignment="1">
      <alignment horizontal="center" vertical="center"/>
    </xf>
    <xf numFmtId="38" fontId="5" fillId="0" borderId="2" xfId="7" applyNumberFormat="1" applyBorder="1" applyAlignment="1">
      <alignment horizontal="right" vertical="center"/>
    </xf>
    <xf numFmtId="38" fontId="0" fillId="0" borderId="2" xfId="8" applyFont="1" applyBorder="1" applyAlignment="1">
      <alignment horizontal="right" vertical="center"/>
    </xf>
    <xf numFmtId="2" fontId="5" fillId="0" borderId="2" xfId="7" applyNumberFormat="1" applyBorder="1" applyAlignment="1">
      <alignment horizontal="center" vertical="center"/>
    </xf>
    <xf numFmtId="1" fontId="5" fillId="0" borderId="2" xfId="7" applyNumberFormat="1" applyBorder="1">
      <alignment vertical="center"/>
    </xf>
    <xf numFmtId="198" fontId="0" fillId="0" borderId="2" xfId="8" applyNumberFormat="1" applyFont="1" applyBorder="1">
      <alignment vertical="center"/>
    </xf>
    <xf numFmtId="199" fontId="0" fillId="0" borderId="2" xfId="8" applyNumberFormat="1" applyFont="1" applyBorder="1">
      <alignment vertical="center"/>
    </xf>
    <xf numFmtId="189" fontId="33" fillId="11" borderId="21" xfId="0" applyNumberFormat="1" applyFont="1" applyFill="1" applyBorder="1" applyAlignment="1">
      <alignment vertical="center"/>
    </xf>
    <xf numFmtId="189" fontId="11" fillId="7" borderId="21" xfId="0" applyNumberFormat="1" applyFont="1" applyFill="1" applyBorder="1"/>
    <xf numFmtId="0" fontId="8" fillId="0" borderId="21" xfId="0" applyFont="1" applyBorder="1" applyAlignment="1">
      <alignment horizontal="center"/>
    </xf>
    <xf numFmtId="2" fontId="11" fillId="6" borderId="0" xfId="0" applyNumberFormat="1" applyFont="1" applyFill="1" applyAlignment="1">
      <alignment horizontal="left"/>
    </xf>
    <xf numFmtId="185" fontId="8" fillId="5" borderId="77" xfId="0" applyNumberFormat="1" applyFont="1" applyFill="1" applyBorder="1" applyAlignment="1">
      <alignment horizontal="right"/>
    </xf>
    <xf numFmtId="185" fontId="40" fillId="5" borderId="77" xfId="0" applyNumberFormat="1" applyFont="1" applyFill="1" applyBorder="1"/>
    <xf numFmtId="185" fontId="8" fillId="18" borderId="2" xfId="0" applyNumberFormat="1" applyFont="1" applyFill="1" applyBorder="1" applyAlignment="1">
      <alignment horizontal="right"/>
    </xf>
    <xf numFmtId="2" fontId="40" fillId="21" borderId="0" xfId="0" applyNumberFormat="1" applyFont="1" applyFill="1"/>
    <xf numFmtId="189" fontId="54" fillId="7" borderId="128" xfId="0" applyNumberFormat="1" applyFont="1" applyFill="1" applyBorder="1" applyAlignment="1">
      <alignment vertical="center"/>
    </xf>
    <xf numFmtId="0" fontId="8" fillId="0" borderId="24" xfId="0" applyFont="1" applyBorder="1"/>
    <xf numFmtId="0" fontId="8" fillId="22" borderId="11" xfId="0" applyFont="1" applyFill="1" applyBorder="1" applyAlignment="1">
      <alignment horizontal="center" vertical="center"/>
    </xf>
    <xf numFmtId="0" fontId="17" fillId="0" borderId="0" xfId="0" applyFont="1" applyAlignment="1">
      <alignment horizontal="right"/>
    </xf>
    <xf numFmtId="0" fontId="12" fillId="0" borderId="0" xfId="7" applyFont="1" applyAlignment="1">
      <alignment horizontal="left" vertical="center"/>
    </xf>
    <xf numFmtId="0" fontId="8" fillId="5" borderId="15" xfId="7" applyFont="1" applyFill="1" applyBorder="1">
      <alignment vertical="center"/>
    </xf>
    <xf numFmtId="0" fontId="11" fillId="7" borderId="21" xfId="0" applyFont="1" applyFill="1" applyBorder="1" applyAlignment="1">
      <alignment horizontal="right"/>
    </xf>
    <xf numFmtId="1" fontId="11" fillId="11" borderId="21" xfId="0" applyNumberFormat="1" applyFont="1" applyFill="1" applyBorder="1" applyAlignment="1">
      <alignment horizontal="right"/>
    </xf>
    <xf numFmtId="0" fontId="11" fillId="0" borderId="21" xfId="0" applyFont="1" applyBorder="1" applyAlignment="1">
      <alignment horizontal="right" vertical="center"/>
    </xf>
    <xf numFmtId="1" fontId="11" fillId="11" borderId="21" xfId="0" applyNumberFormat="1" applyFont="1" applyFill="1" applyBorder="1" applyAlignment="1">
      <alignment horizontal="right" vertical="center"/>
    </xf>
    <xf numFmtId="0" fontId="19" fillId="23" borderId="30" xfId="0" applyFont="1" applyFill="1" applyBorder="1" applyAlignment="1">
      <alignment horizontal="left"/>
    </xf>
    <xf numFmtId="189" fontId="33" fillId="7" borderId="21" xfId="0" applyNumberFormat="1" applyFont="1" applyFill="1" applyBorder="1" applyAlignment="1">
      <alignment horizontal="right" vertical="center"/>
    </xf>
    <xf numFmtId="177" fontId="25" fillId="0" borderId="0" xfId="0" applyNumberFormat="1" applyFont="1"/>
    <xf numFmtId="0" fontId="19" fillId="0" borderId="0" xfId="0" applyFont="1" applyAlignment="1">
      <alignment horizontal="left"/>
    </xf>
    <xf numFmtId="0" fontId="19" fillId="0" borderId="22" xfId="0" applyFont="1" applyBorder="1" applyAlignment="1">
      <alignment horizontal="left"/>
    </xf>
    <xf numFmtId="0" fontId="25" fillId="0" borderId="0" xfId="0" applyFont="1" applyAlignment="1">
      <alignment horizontal="center"/>
    </xf>
    <xf numFmtId="0" fontId="75" fillId="0" borderId="0" xfId="0" applyFont="1"/>
    <xf numFmtId="181" fontId="19" fillId="0" borderId="55" xfId="7" applyNumberFormat="1" applyFont="1" applyBorder="1">
      <alignment vertical="center"/>
    </xf>
    <xf numFmtId="181" fontId="19" fillId="0" borderId="101" xfId="7" applyNumberFormat="1" applyFont="1" applyBorder="1">
      <alignment vertical="center"/>
    </xf>
    <xf numFmtId="0" fontId="19" fillId="0" borderId="17" xfId="0" applyFont="1" applyBorder="1"/>
    <xf numFmtId="0" fontId="45" fillId="0" borderId="23" xfId="0" applyFont="1" applyBorder="1"/>
    <xf numFmtId="0" fontId="19" fillId="0" borderId="18" xfId="0" applyFont="1" applyBorder="1"/>
    <xf numFmtId="0" fontId="45" fillId="0" borderId="24" xfId="0" applyFont="1" applyBorder="1"/>
    <xf numFmtId="0" fontId="19" fillId="0" borderId="4" xfId="0" applyFont="1" applyBorder="1"/>
    <xf numFmtId="0" fontId="45" fillId="0" borderId="28" xfId="0" applyFont="1" applyBorder="1"/>
    <xf numFmtId="0" fontId="11" fillId="11" borderId="11" xfId="0" applyFont="1" applyFill="1" applyBorder="1"/>
    <xf numFmtId="0" fontId="19" fillId="0" borderId="87" xfId="0" applyFont="1" applyBorder="1"/>
    <xf numFmtId="0" fontId="19" fillId="0" borderId="131" xfId="0" applyFont="1" applyBorder="1"/>
    <xf numFmtId="0" fontId="45" fillId="0" borderId="43" xfId="0" applyFont="1" applyBorder="1"/>
    <xf numFmtId="0" fontId="19" fillId="0" borderId="56" xfId="0" applyFont="1" applyBorder="1" applyAlignment="1">
      <alignment horizontal="left"/>
    </xf>
    <xf numFmtId="0" fontId="19" fillId="0" borderId="58" xfId="0" applyFont="1" applyBorder="1"/>
    <xf numFmtId="0" fontId="19" fillId="0" borderId="49" xfId="0" applyFont="1" applyBorder="1"/>
    <xf numFmtId="0" fontId="13" fillId="0" borderId="16" xfId="0" applyFont="1" applyBorder="1"/>
    <xf numFmtId="0" fontId="0" fillId="0" borderId="39" xfId="0" applyBorder="1"/>
    <xf numFmtId="189" fontId="25" fillId="11" borderId="1" xfId="0" applyNumberFormat="1" applyFont="1" applyFill="1" applyBorder="1"/>
    <xf numFmtId="189" fontId="46" fillId="11" borderId="1" xfId="0" applyNumberFormat="1" applyFont="1" applyFill="1" applyBorder="1" applyAlignment="1">
      <alignment horizontal="right" vertical="center"/>
    </xf>
    <xf numFmtId="189" fontId="33" fillId="2" borderId="21" xfId="0" applyNumberFormat="1" applyFont="1" applyFill="1" applyBorder="1" applyAlignment="1">
      <alignment horizontal="right" vertical="center"/>
    </xf>
    <xf numFmtId="0" fontId="25" fillId="11" borderId="1" xfId="0" applyFont="1" applyFill="1" applyBorder="1" applyAlignment="1">
      <alignment vertical="center"/>
    </xf>
    <xf numFmtId="0" fontId="25" fillId="11" borderId="1" xfId="0" applyFont="1" applyFill="1" applyBorder="1"/>
    <xf numFmtId="0" fontId="13" fillId="0" borderId="16" xfId="0" applyFont="1" applyBorder="1" applyAlignment="1">
      <alignment horizontal="right" vertical="center"/>
    </xf>
    <xf numFmtId="185" fontId="8" fillId="5" borderId="2" xfId="0" applyNumberFormat="1" applyFont="1" applyFill="1" applyBorder="1" applyAlignment="1">
      <alignment horizontal="right"/>
    </xf>
    <xf numFmtId="185" fontId="8" fillId="5" borderId="59" xfId="0" applyNumberFormat="1" applyFont="1" applyFill="1" applyBorder="1" applyAlignment="1">
      <alignment horizontal="right"/>
    </xf>
    <xf numFmtId="186" fontId="8" fillId="5" borderId="77" xfId="0" applyNumberFormat="1" applyFont="1" applyFill="1" applyBorder="1" applyAlignment="1">
      <alignment horizontal="right"/>
    </xf>
    <xf numFmtId="186" fontId="8" fillId="5" borderId="59" xfId="0" applyNumberFormat="1" applyFont="1" applyFill="1" applyBorder="1" applyAlignment="1">
      <alignment horizontal="right"/>
    </xf>
    <xf numFmtId="176" fontId="11" fillId="9" borderId="21" xfId="0" applyNumberFormat="1" applyFont="1" applyFill="1" applyBorder="1" applyAlignment="1">
      <alignment horizontal="right" vertical="center"/>
    </xf>
    <xf numFmtId="0" fontId="34" fillId="0" borderId="0" xfId="0" applyFont="1" applyAlignment="1">
      <alignment horizontal="center"/>
    </xf>
    <xf numFmtId="0" fontId="34" fillId="0" borderId="39" xfId="0" applyFont="1" applyBorder="1" applyAlignment="1">
      <alignment horizontal="center"/>
    </xf>
    <xf numFmtId="0" fontId="34" fillId="0" borderId="0" xfId="0" applyFont="1" applyAlignment="1">
      <alignment horizontal="right"/>
    </xf>
    <xf numFmtId="189" fontId="11" fillId="9" borderId="21" xfId="0" applyNumberFormat="1" applyFont="1" applyFill="1" applyBorder="1" applyAlignment="1">
      <alignment horizontal="right" vertical="center"/>
    </xf>
    <xf numFmtId="186" fontId="8" fillId="18" borderId="0" xfId="0" applyNumberFormat="1" applyFont="1" applyFill="1"/>
    <xf numFmtId="186" fontId="8" fillId="18" borderId="2" xfId="0" applyNumberFormat="1" applyFont="1" applyFill="1" applyBorder="1"/>
    <xf numFmtId="185" fontId="8" fillId="7" borderId="77" xfId="0" applyNumberFormat="1" applyFont="1" applyFill="1" applyBorder="1"/>
    <xf numFmtId="185" fontId="40" fillId="7" borderId="77" xfId="0" applyNumberFormat="1" applyFont="1" applyFill="1" applyBorder="1"/>
    <xf numFmtId="186" fontId="8" fillId="7" borderId="77" xfId="0" applyNumberFormat="1" applyFont="1" applyFill="1" applyBorder="1" applyAlignment="1">
      <alignment horizontal="right"/>
    </xf>
    <xf numFmtId="0" fontId="12" fillId="7" borderId="58" xfId="0" applyFont="1" applyFill="1" applyBorder="1"/>
    <xf numFmtId="185" fontId="8" fillId="7" borderId="59" xfId="0" applyNumberFormat="1" applyFont="1" applyFill="1" applyBorder="1"/>
    <xf numFmtId="186" fontId="8" fillId="7" borderId="59" xfId="0" applyNumberFormat="1" applyFont="1" applyFill="1" applyBorder="1"/>
    <xf numFmtId="186" fontId="8" fillId="7" borderId="98" xfId="0" applyNumberFormat="1" applyFont="1" applyFill="1" applyBorder="1" applyAlignment="1">
      <alignment horizontal="right"/>
    </xf>
    <xf numFmtId="186" fontId="8" fillId="7" borderId="16" xfId="0" applyNumberFormat="1" applyFont="1" applyFill="1" applyBorder="1"/>
    <xf numFmtId="186" fontId="8" fillId="5" borderId="98" xfId="0" applyNumberFormat="1" applyFont="1" applyFill="1" applyBorder="1" applyAlignment="1">
      <alignment horizontal="right"/>
    </xf>
    <xf numFmtId="186" fontId="8" fillId="5" borderId="106" xfId="0" applyNumberFormat="1" applyFont="1" applyFill="1" applyBorder="1" applyAlignment="1">
      <alignment horizontal="right"/>
    </xf>
    <xf numFmtId="0" fontId="12" fillId="7" borderId="132" xfId="0" applyFont="1" applyFill="1" applyBorder="1"/>
    <xf numFmtId="185" fontId="8" fillId="7" borderId="8" xfId="0" applyNumberFormat="1" applyFont="1" applyFill="1" applyBorder="1" applyAlignment="1">
      <alignment horizontal="right"/>
    </xf>
    <xf numFmtId="0" fontId="77" fillId="0" borderId="0" xfId="0" applyFont="1"/>
    <xf numFmtId="0" fontId="11" fillId="11" borderId="1" xfId="0" applyFont="1" applyFill="1" applyBorder="1"/>
    <xf numFmtId="0" fontId="12" fillId="7" borderId="126" xfId="0" applyFont="1" applyFill="1" applyBorder="1"/>
    <xf numFmtId="0" fontId="12" fillId="7" borderId="100" xfId="0" applyFont="1" applyFill="1" applyBorder="1"/>
    <xf numFmtId="0" fontId="78" fillId="7" borderId="10" xfId="0" applyFont="1" applyFill="1" applyBorder="1" applyAlignment="1">
      <alignment horizontal="right"/>
    </xf>
    <xf numFmtId="183" fontId="8" fillId="5" borderId="77" xfId="0" applyNumberFormat="1" applyFont="1" applyFill="1" applyBorder="1" applyAlignment="1">
      <alignment horizontal="right"/>
    </xf>
    <xf numFmtId="183" fontId="8" fillId="18" borderId="2" xfId="0" applyNumberFormat="1" applyFont="1" applyFill="1" applyBorder="1" applyAlignment="1">
      <alignment horizontal="right"/>
    </xf>
    <xf numFmtId="183" fontId="8" fillId="5" borderId="59" xfId="0" applyNumberFormat="1" applyFont="1" applyFill="1" applyBorder="1" applyAlignment="1">
      <alignment horizontal="right"/>
    </xf>
    <xf numFmtId="183" fontId="8" fillId="7" borderId="77" xfId="0" applyNumberFormat="1" applyFont="1" applyFill="1" applyBorder="1" applyAlignment="1">
      <alignment horizontal="right"/>
    </xf>
    <xf numFmtId="183" fontId="8" fillId="7" borderId="59" xfId="0" applyNumberFormat="1" applyFont="1" applyFill="1" applyBorder="1" applyAlignment="1">
      <alignment horizontal="right"/>
    </xf>
    <xf numFmtId="0" fontId="54" fillId="0" borderId="127" xfId="7" applyFont="1" applyBorder="1" applyAlignment="1">
      <alignment horizontal="center" vertical="center"/>
    </xf>
    <xf numFmtId="0" fontId="71" fillId="20" borderId="2" xfId="7" applyFont="1" applyFill="1" applyBorder="1">
      <alignment vertical="center"/>
    </xf>
    <xf numFmtId="0" fontId="5" fillId="20" borderId="2" xfId="7" applyFill="1" applyBorder="1">
      <alignment vertical="center"/>
    </xf>
    <xf numFmtId="0" fontId="5" fillId="20" borderId="2" xfId="7" applyFill="1" applyBorder="1" applyAlignment="1">
      <alignment horizontal="center" vertical="center"/>
    </xf>
    <xf numFmtId="38" fontId="0" fillId="20" borderId="2" xfId="8" applyFont="1" applyFill="1" applyBorder="1">
      <alignment vertical="center"/>
    </xf>
    <xf numFmtId="189" fontId="5" fillId="20" borderId="2" xfId="7" applyNumberFormat="1" applyFill="1" applyBorder="1">
      <alignment vertical="center"/>
    </xf>
    <xf numFmtId="181" fontId="14" fillId="0" borderId="0" xfId="0" applyNumberFormat="1" applyFont="1" applyAlignment="1">
      <alignment horizontal="right"/>
    </xf>
    <xf numFmtId="0" fontId="14" fillId="0" borderId="0" xfId="0" applyFont="1" applyAlignment="1">
      <alignment horizontal="right"/>
    </xf>
    <xf numFmtId="189" fontId="11" fillId="7" borderId="21" xfId="0" applyNumberFormat="1" applyFont="1" applyFill="1" applyBorder="1" applyAlignment="1">
      <alignment horizontal="right"/>
    </xf>
    <xf numFmtId="189" fontId="33" fillId="0" borderId="2" xfId="0" applyNumberFormat="1" applyFont="1" applyBorder="1" applyAlignment="1">
      <alignment horizontal="right" vertical="center"/>
    </xf>
    <xf numFmtId="1" fontId="11" fillId="0" borderId="24" xfId="0" applyNumberFormat="1" applyFont="1" applyBorder="1" applyAlignment="1">
      <alignment horizontal="right"/>
    </xf>
    <xf numFmtId="176" fontId="11" fillId="0" borderId="28" xfId="0" applyNumberFormat="1" applyFont="1" applyBorder="1"/>
    <xf numFmtId="194" fontId="0" fillId="0" borderId="2" xfId="8" applyNumberFormat="1" applyFont="1" applyFill="1" applyBorder="1">
      <alignment vertical="center"/>
    </xf>
    <xf numFmtId="0" fontId="73" fillId="0" borderId="2" xfId="7" applyFont="1" applyBorder="1">
      <alignment vertical="center"/>
    </xf>
    <xf numFmtId="195" fontId="0" fillId="0" borderId="2" xfId="8" applyNumberFormat="1" applyFont="1" applyFill="1" applyBorder="1">
      <alignment vertical="center"/>
    </xf>
    <xf numFmtId="194" fontId="0" fillId="20" borderId="2" xfId="8" applyNumberFormat="1" applyFont="1" applyFill="1" applyBorder="1">
      <alignment vertical="center"/>
    </xf>
    <xf numFmtId="194" fontId="0" fillId="17" borderId="2" xfId="8" applyNumberFormat="1" applyFont="1" applyFill="1" applyBorder="1">
      <alignment vertical="center"/>
    </xf>
    <xf numFmtId="38" fontId="0" fillId="17" borderId="2" xfId="8" applyFont="1" applyFill="1" applyBorder="1">
      <alignment vertical="center"/>
    </xf>
    <xf numFmtId="176" fontId="33" fillId="0" borderId="21" xfId="0" applyNumberFormat="1" applyFont="1" applyBorder="1" applyAlignment="1">
      <alignment horizontal="right" vertical="center"/>
    </xf>
    <xf numFmtId="189" fontId="33" fillId="0" borderId="8" xfId="0" applyNumberFormat="1" applyFont="1" applyBorder="1" applyAlignment="1">
      <alignment horizontal="right" vertical="center"/>
    </xf>
    <xf numFmtId="189" fontId="33" fillId="0" borderId="24" xfId="0" applyNumberFormat="1" applyFont="1" applyBorder="1"/>
    <xf numFmtId="189" fontId="11" fillId="7" borderId="30" xfId="0" applyNumberFormat="1" applyFont="1" applyFill="1" applyBorder="1"/>
    <xf numFmtId="0" fontId="13" fillId="19" borderId="0" xfId="0" applyFont="1" applyFill="1"/>
    <xf numFmtId="0" fontId="11" fillId="24" borderId="0" xfId="0" applyFont="1" applyFill="1" applyAlignment="1">
      <alignment horizontal="right"/>
    </xf>
    <xf numFmtId="0" fontId="11" fillId="24" borderId="1" xfId="0" applyFont="1" applyFill="1" applyBorder="1"/>
    <xf numFmtId="38" fontId="8" fillId="5" borderId="2" xfId="8" applyFont="1" applyFill="1" applyBorder="1">
      <alignment vertical="center"/>
    </xf>
    <xf numFmtId="189" fontId="53" fillId="7" borderId="128" xfId="0" applyNumberFormat="1" applyFont="1" applyFill="1" applyBorder="1"/>
    <xf numFmtId="0" fontId="8" fillId="9" borderId="7" xfId="0" applyFont="1" applyFill="1" applyBorder="1" applyAlignment="1">
      <alignment vertical="center"/>
    </xf>
    <xf numFmtId="0" fontId="8" fillId="2" borderId="8" xfId="0" applyFont="1" applyFill="1" applyBorder="1" applyAlignment="1">
      <alignment vertical="center"/>
    </xf>
    <xf numFmtId="0" fontId="8" fillId="2" borderId="21" xfId="0" applyFont="1" applyFill="1" applyBorder="1"/>
    <xf numFmtId="0" fontId="8" fillId="0" borderId="12" xfId="0" applyFont="1" applyBorder="1"/>
    <xf numFmtId="0" fontId="8" fillId="0" borderId="32" xfId="0" applyFont="1" applyBorder="1"/>
    <xf numFmtId="0" fontId="8" fillId="2" borderId="133" xfId="0" applyFont="1" applyFill="1" applyBorder="1" applyAlignment="1">
      <alignment vertical="center"/>
    </xf>
    <xf numFmtId="0" fontId="8" fillId="9" borderId="17" xfId="0" applyFont="1" applyFill="1" applyBorder="1" applyAlignment="1">
      <alignment vertical="center"/>
    </xf>
    <xf numFmtId="0" fontId="8" fillId="2" borderId="5" xfId="0" applyFont="1" applyFill="1" applyBorder="1" applyAlignment="1">
      <alignment vertical="center"/>
    </xf>
    <xf numFmtId="0" fontId="8" fillId="2" borderId="106" xfId="0" applyFont="1" applyFill="1" applyBorder="1"/>
    <xf numFmtId="0" fontId="8" fillId="0" borderId="15" xfId="0" applyFont="1" applyBorder="1"/>
    <xf numFmtId="0" fontId="8" fillId="0" borderId="9" xfId="0" applyFont="1" applyBorder="1"/>
    <xf numFmtId="0" fontId="8" fillId="2" borderId="8" xfId="0" applyFont="1" applyFill="1" applyBorder="1" applyAlignment="1">
      <alignment horizontal="right"/>
    </xf>
    <xf numFmtId="0" fontId="8" fillId="5" borderId="17" xfId="0" applyFont="1" applyFill="1" applyBorder="1"/>
    <xf numFmtId="0" fontId="8" fillId="2" borderId="3" xfId="0" applyFont="1" applyFill="1" applyBorder="1"/>
    <xf numFmtId="0" fontId="0" fillId="0" borderId="12" xfId="0" applyBorder="1"/>
    <xf numFmtId="0" fontId="8" fillId="2" borderId="44" xfId="0" applyFont="1" applyFill="1" applyBorder="1"/>
    <xf numFmtId="181" fontId="19" fillId="0" borderId="56" xfId="0" applyNumberFormat="1" applyFont="1" applyBorder="1"/>
    <xf numFmtId="2" fontId="19" fillId="0" borderId="57" xfId="0" applyNumberFormat="1" applyFont="1" applyBorder="1"/>
    <xf numFmtId="176" fontId="8" fillId="2" borderId="1" xfId="0" applyNumberFormat="1" applyFont="1" applyFill="1" applyBorder="1"/>
    <xf numFmtId="0" fontId="19" fillId="0" borderId="6" xfId="0" applyFont="1" applyBorder="1" applyAlignment="1">
      <alignment vertical="center"/>
    </xf>
    <xf numFmtId="0" fontId="13" fillId="0" borderId="102" xfId="0" applyFont="1" applyBorder="1" applyAlignment="1">
      <alignment horizontal="center"/>
    </xf>
    <xf numFmtId="0" fontId="62" fillId="0" borderId="45" xfId="0" applyFont="1" applyBorder="1" applyAlignment="1">
      <alignment vertical="center"/>
    </xf>
    <xf numFmtId="0" fontId="40" fillId="0" borderId="45" xfId="0" applyFont="1" applyBorder="1" applyAlignment="1">
      <alignment horizontal="right" vertical="center"/>
    </xf>
    <xf numFmtId="0" fontId="62" fillId="0" borderId="16" xfId="0" applyFont="1" applyBorder="1" applyAlignment="1">
      <alignment vertical="center"/>
    </xf>
    <xf numFmtId="0" fontId="79" fillId="0" borderId="0" xfId="0" applyFont="1"/>
    <xf numFmtId="0" fontId="80" fillId="0" borderId="0" xfId="0" applyFont="1" applyAlignment="1">
      <alignment horizontal="center" vertical="center"/>
    </xf>
    <xf numFmtId="0" fontId="80" fillId="0" borderId="0" xfId="0" applyFont="1" applyAlignment="1">
      <alignment horizontal="right" vertical="center"/>
    </xf>
    <xf numFmtId="194" fontId="54" fillId="7" borderId="128" xfId="7" applyNumberFormat="1" applyFont="1" applyFill="1" applyBorder="1">
      <alignment vertical="center"/>
    </xf>
    <xf numFmtId="194" fontId="54" fillId="7" borderId="129" xfId="7" applyNumberFormat="1" applyFont="1" applyFill="1" applyBorder="1">
      <alignment vertical="center"/>
    </xf>
    <xf numFmtId="2" fontId="51" fillId="7" borderId="128" xfId="0" applyNumberFormat="1" applyFont="1" applyFill="1" applyBorder="1"/>
    <xf numFmtId="2" fontId="51" fillId="7" borderId="129" xfId="0" applyNumberFormat="1" applyFont="1" applyFill="1" applyBorder="1"/>
    <xf numFmtId="177" fontId="12" fillId="0" borderId="101" xfId="0" applyNumberFormat="1" applyFont="1" applyBorder="1" applyAlignment="1">
      <alignment horizontal="center" vertical="center"/>
    </xf>
    <xf numFmtId="0" fontId="12" fillId="0" borderId="57" xfId="7" applyFont="1" applyBorder="1">
      <alignment vertical="center"/>
    </xf>
    <xf numFmtId="177" fontId="12" fillId="0" borderId="102" xfId="0" applyNumberFormat="1" applyFont="1" applyBorder="1" applyAlignment="1">
      <alignment horizontal="center" vertical="center"/>
    </xf>
    <xf numFmtId="186" fontId="40" fillId="5" borderId="77" xfId="0" applyNumberFormat="1" applyFont="1" applyFill="1" applyBorder="1" applyAlignment="1">
      <alignment horizontal="right"/>
    </xf>
    <xf numFmtId="186" fontId="8" fillId="5" borderId="2" xfId="0" applyNumberFormat="1" applyFont="1" applyFill="1" applyBorder="1" applyAlignment="1">
      <alignment horizontal="right"/>
    </xf>
    <xf numFmtId="186" fontId="8" fillId="18" borderId="2" xfId="0" applyNumberFormat="1" applyFont="1" applyFill="1" applyBorder="1" applyAlignment="1">
      <alignment horizontal="right"/>
    </xf>
    <xf numFmtId="186" fontId="8" fillId="7" borderId="8" xfId="0" applyNumberFormat="1" applyFont="1" applyFill="1" applyBorder="1" applyAlignment="1">
      <alignment horizontal="right"/>
    </xf>
    <xf numFmtId="185" fontId="8" fillId="7" borderId="59" xfId="0" applyNumberFormat="1" applyFont="1" applyFill="1" applyBorder="1" applyAlignment="1">
      <alignment horizontal="right"/>
    </xf>
    <xf numFmtId="177" fontId="19" fillId="5" borderId="56" xfId="0" applyNumberFormat="1" applyFont="1" applyFill="1" applyBorder="1" applyAlignment="1">
      <alignment horizontal="center" vertical="center"/>
    </xf>
    <xf numFmtId="177" fontId="19" fillId="5" borderId="99" xfId="0" applyNumberFormat="1" applyFont="1" applyFill="1" applyBorder="1" applyAlignment="1">
      <alignment horizontal="center" vertical="center"/>
    </xf>
    <xf numFmtId="177" fontId="19" fillId="5" borderId="58" xfId="0" applyNumberFormat="1" applyFont="1" applyFill="1" applyBorder="1" applyAlignment="1">
      <alignment horizontal="center" vertical="center"/>
    </xf>
    <xf numFmtId="200" fontId="19" fillId="0" borderId="28" xfId="7" applyNumberFormat="1" applyFont="1" applyBorder="1">
      <alignment vertical="center"/>
    </xf>
    <xf numFmtId="200" fontId="19" fillId="2" borderId="28" xfId="7" applyNumberFormat="1" applyFont="1" applyFill="1" applyBorder="1">
      <alignment vertical="center"/>
    </xf>
    <xf numFmtId="178" fontId="8" fillId="2" borderId="4" xfId="0" applyNumberFormat="1" applyFont="1" applyFill="1" applyBorder="1" applyAlignment="1">
      <alignment horizontal="right" vertical="center"/>
    </xf>
    <xf numFmtId="179" fontId="8" fillId="2" borderId="2" xfId="0" applyNumberFormat="1" applyFont="1" applyFill="1" applyBorder="1" applyAlignment="1">
      <alignment vertical="center"/>
    </xf>
    <xf numFmtId="0" fontId="43" fillId="0" borderId="0" xfId="0" applyFont="1" applyAlignment="1">
      <alignment horizontal="center"/>
    </xf>
    <xf numFmtId="0" fontId="8" fillId="0" borderId="0" xfId="0" quotePrefix="1" applyFont="1"/>
    <xf numFmtId="177" fontId="42" fillId="0" borderId="44" xfId="0" applyNumberFormat="1" applyFont="1" applyBorder="1" applyAlignment="1">
      <alignment horizontal="center" vertical="center"/>
    </xf>
    <xf numFmtId="0" fontId="44" fillId="0" borderId="0" xfId="0" applyFont="1" applyAlignment="1">
      <alignment horizontal="center"/>
    </xf>
    <xf numFmtId="0" fontId="12" fillId="0" borderId="22" xfId="7" applyFont="1" applyBorder="1">
      <alignment vertical="center"/>
    </xf>
    <xf numFmtId="0" fontId="49" fillId="0" borderId="0" xfId="0" applyFont="1" applyAlignment="1">
      <alignment horizontal="left"/>
    </xf>
    <xf numFmtId="189" fontId="33" fillId="9" borderId="21" xfId="0" applyNumberFormat="1" applyFont="1" applyFill="1" applyBorder="1" applyAlignment="1">
      <alignment vertical="center" shrinkToFit="1"/>
    </xf>
    <xf numFmtId="189" fontId="33" fillId="0" borderId="21" xfId="0" applyNumberFormat="1" applyFont="1" applyBorder="1" applyAlignment="1">
      <alignment vertical="center" shrinkToFit="1"/>
    </xf>
    <xf numFmtId="2" fontId="51" fillId="0" borderId="21" xfId="0" applyNumberFormat="1" applyFont="1" applyBorder="1" applyAlignment="1">
      <alignment vertical="center" shrinkToFit="1"/>
    </xf>
    <xf numFmtId="1" fontId="33" fillId="11" borderId="21" xfId="0" applyNumberFormat="1" applyFont="1" applyFill="1" applyBorder="1" applyAlignment="1">
      <alignment vertical="center" shrinkToFit="1"/>
    </xf>
    <xf numFmtId="189" fontId="11" fillId="7" borderId="21" xfId="0" applyNumberFormat="1" applyFont="1" applyFill="1" applyBorder="1" applyAlignment="1">
      <alignment horizontal="right" shrinkToFit="1"/>
    </xf>
    <xf numFmtId="0" fontId="56" fillId="0" borderId="0" xfId="7" applyFont="1">
      <alignment vertical="center"/>
    </xf>
    <xf numFmtId="201" fontId="19" fillId="7" borderId="2" xfId="0" applyNumberFormat="1" applyFont="1" applyFill="1" applyBorder="1" applyAlignment="1">
      <alignment horizontal="left"/>
    </xf>
    <xf numFmtId="0" fontId="19" fillId="7" borderId="2" xfId="0" applyFont="1" applyFill="1" applyBorder="1" applyAlignment="1">
      <alignment horizontal="left"/>
    </xf>
    <xf numFmtId="0" fontId="19" fillId="7" borderId="2" xfId="0" applyFont="1" applyFill="1" applyBorder="1"/>
    <xf numFmtId="201" fontId="19" fillId="0" borderId="2" xfId="0" applyNumberFormat="1" applyFont="1" applyBorder="1" applyAlignment="1">
      <alignment horizontal="left"/>
    </xf>
    <xf numFmtId="201" fontId="19" fillId="0" borderId="0" xfId="0" applyNumberFormat="1" applyFont="1" applyAlignment="1">
      <alignment horizontal="left"/>
    </xf>
    <xf numFmtId="49" fontId="19" fillId="0" borderId="2" xfId="0" applyNumberFormat="1" applyFont="1" applyBorder="1" applyAlignment="1">
      <alignment horizontal="left"/>
    </xf>
    <xf numFmtId="1" fontId="14" fillId="0" borderId="2" xfId="0" applyNumberFormat="1" applyFont="1" applyBorder="1" applyAlignment="1">
      <alignment horizontal="right" vertical="center"/>
    </xf>
    <xf numFmtId="2" fontId="11" fillId="7" borderId="21" xfId="0" applyNumberFormat="1" applyFont="1" applyFill="1" applyBorder="1" applyAlignment="1">
      <alignment horizontal="right"/>
    </xf>
    <xf numFmtId="2" fontId="11" fillId="7" borderId="21" xfId="0" applyNumberFormat="1" applyFont="1" applyFill="1" applyBorder="1"/>
    <xf numFmtId="2" fontId="11" fillId="0" borderId="21" xfId="0" applyNumberFormat="1" applyFont="1" applyBorder="1"/>
    <xf numFmtId="2" fontId="11" fillId="0" borderId="21" xfId="0" applyNumberFormat="1" applyFont="1" applyBorder="1" applyAlignment="1">
      <alignment horizontal="right"/>
    </xf>
    <xf numFmtId="40" fontId="5" fillId="0" borderId="2" xfId="7" applyNumberFormat="1" applyBorder="1">
      <alignment vertical="center"/>
    </xf>
    <xf numFmtId="185" fontId="8" fillId="5" borderId="98" xfId="0" applyNumberFormat="1" applyFont="1" applyFill="1" applyBorder="1" applyAlignment="1">
      <alignment horizontal="right"/>
    </xf>
    <xf numFmtId="185" fontId="8" fillId="18" borderId="4" xfId="0" applyNumberFormat="1" applyFont="1" applyFill="1" applyBorder="1"/>
    <xf numFmtId="185" fontId="8" fillId="5" borderId="4" xfId="0" applyNumberFormat="1" applyFont="1" applyFill="1" applyBorder="1" applyAlignment="1">
      <alignment horizontal="right"/>
    </xf>
    <xf numFmtId="185" fontId="8" fillId="18" borderId="4" xfId="0" applyNumberFormat="1" applyFont="1" applyFill="1" applyBorder="1" applyAlignment="1">
      <alignment horizontal="right"/>
    </xf>
    <xf numFmtId="185" fontId="8" fillId="5" borderId="106" xfId="0" applyNumberFormat="1" applyFont="1" applyFill="1" applyBorder="1" applyAlignment="1">
      <alignment horizontal="right"/>
    </xf>
    <xf numFmtId="185" fontId="8" fillId="7" borderId="18" xfId="0" applyNumberFormat="1" applyFont="1" applyFill="1" applyBorder="1" applyAlignment="1">
      <alignment horizontal="right"/>
    </xf>
    <xf numFmtId="185" fontId="8" fillId="7" borderId="106" xfId="0" applyNumberFormat="1" applyFont="1" applyFill="1" applyBorder="1"/>
    <xf numFmtId="186" fontId="8" fillId="5" borderId="126" xfId="0" applyNumberFormat="1" applyFont="1" applyFill="1" applyBorder="1" applyAlignment="1">
      <alignment horizontal="right"/>
    </xf>
    <xf numFmtId="186" fontId="0" fillId="5" borderId="28" xfId="0" applyNumberFormat="1" applyFill="1" applyBorder="1" applyAlignment="1">
      <alignment horizontal="right"/>
    </xf>
    <xf numFmtId="186" fontId="8" fillId="18" borderId="28" xfId="0" applyNumberFormat="1" applyFont="1" applyFill="1" applyBorder="1" applyAlignment="1">
      <alignment horizontal="right"/>
    </xf>
    <xf numFmtId="186" fontId="8" fillId="5" borderId="28" xfId="0" applyNumberFormat="1" applyFont="1" applyFill="1" applyBorder="1" applyAlignment="1">
      <alignment horizontal="right"/>
    </xf>
    <xf numFmtId="186" fontId="8" fillId="5" borderId="100" xfId="0" applyNumberFormat="1" applyFont="1" applyFill="1" applyBorder="1" applyAlignment="1">
      <alignment horizontal="right"/>
    </xf>
    <xf numFmtId="186" fontId="8" fillId="7" borderId="24" xfId="0" applyNumberFormat="1" applyFont="1" applyFill="1" applyBorder="1" applyAlignment="1">
      <alignment horizontal="right"/>
    </xf>
    <xf numFmtId="0" fontId="25" fillId="0" borderId="15" xfId="0" applyFont="1" applyBorder="1"/>
    <xf numFmtId="0" fontId="43" fillId="0" borderId="30" xfId="0" applyFont="1" applyBorder="1" applyAlignment="1">
      <alignment horizontal="left"/>
    </xf>
    <xf numFmtId="185" fontId="8" fillId="5" borderId="87" xfId="0" applyNumberFormat="1" applyFont="1" applyFill="1" applyBorder="1" applyAlignment="1">
      <alignment horizontal="right"/>
    </xf>
    <xf numFmtId="185" fontId="8" fillId="5" borderId="78" xfId="0" applyNumberFormat="1" applyFont="1" applyFill="1" applyBorder="1" applyAlignment="1">
      <alignment horizontal="right"/>
    </xf>
    <xf numFmtId="185" fontId="8" fillId="18" borderId="56" xfId="0" applyNumberFormat="1" applyFont="1" applyFill="1" applyBorder="1"/>
    <xf numFmtId="185" fontId="8" fillId="18" borderId="57" xfId="0" applyNumberFormat="1" applyFont="1" applyFill="1" applyBorder="1"/>
    <xf numFmtId="185" fontId="8" fillId="5" borderId="56" xfId="0" applyNumberFormat="1" applyFont="1" applyFill="1" applyBorder="1" applyAlignment="1">
      <alignment horizontal="right"/>
    </xf>
    <xf numFmtId="185" fontId="8" fillId="5" borderId="57" xfId="0" applyNumberFormat="1" applyFont="1" applyFill="1" applyBorder="1" applyAlignment="1">
      <alignment horizontal="right"/>
    </xf>
    <xf numFmtId="185" fontId="8" fillId="18" borderId="56" xfId="0" applyNumberFormat="1" applyFont="1" applyFill="1" applyBorder="1" applyAlignment="1">
      <alignment horizontal="right"/>
    </xf>
    <xf numFmtId="185" fontId="8" fillId="18" borderId="57" xfId="0" applyNumberFormat="1" applyFont="1" applyFill="1" applyBorder="1" applyAlignment="1">
      <alignment horizontal="right"/>
    </xf>
    <xf numFmtId="185" fontId="8" fillId="5" borderId="58" xfId="0" applyNumberFormat="1" applyFont="1" applyFill="1" applyBorder="1" applyAlignment="1">
      <alignment horizontal="right"/>
    </xf>
    <xf numFmtId="185" fontId="8" fillId="5" borderId="44" xfId="0" applyNumberFormat="1" applyFont="1" applyFill="1" applyBorder="1" applyAlignment="1">
      <alignment horizontal="right"/>
    </xf>
    <xf numFmtId="185" fontId="8" fillId="7" borderId="132" xfId="0" applyNumberFormat="1" applyFont="1" applyFill="1" applyBorder="1" applyAlignment="1">
      <alignment horizontal="right"/>
    </xf>
    <xf numFmtId="185" fontId="8" fillId="7" borderId="107" xfId="0" applyNumberFormat="1" applyFont="1" applyFill="1" applyBorder="1" applyAlignment="1">
      <alignment horizontal="right"/>
    </xf>
    <xf numFmtId="185" fontId="8" fillId="7" borderId="58" xfId="0" applyNumberFormat="1" applyFont="1" applyFill="1" applyBorder="1"/>
    <xf numFmtId="185" fontId="8" fillId="7" borderId="44" xfId="0" applyNumberFormat="1" applyFont="1" applyFill="1" applyBorder="1"/>
    <xf numFmtId="186" fontId="40" fillId="5" borderId="98" xfId="0" applyNumberFormat="1" applyFont="1" applyFill="1" applyBorder="1" applyAlignment="1">
      <alignment horizontal="right"/>
    </xf>
    <xf numFmtId="186" fontId="8" fillId="5" borderId="4" xfId="0" applyNumberFormat="1" applyFont="1" applyFill="1" applyBorder="1" applyAlignment="1">
      <alignment horizontal="right"/>
    </xf>
    <xf numFmtId="186" fontId="8" fillId="18" borderId="4" xfId="0" applyNumberFormat="1" applyFont="1" applyFill="1" applyBorder="1" applyAlignment="1">
      <alignment horizontal="right"/>
    </xf>
    <xf numFmtId="186" fontId="8" fillId="7" borderId="18" xfId="0" applyNumberFormat="1" applyFont="1" applyFill="1" applyBorder="1" applyAlignment="1">
      <alignment horizontal="right"/>
    </xf>
    <xf numFmtId="186" fontId="8" fillId="7" borderId="106" xfId="0" applyNumberFormat="1" applyFont="1" applyFill="1" applyBorder="1"/>
    <xf numFmtId="0" fontId="11" fillId="0" borderId="0" xfId="0" applyFont="1" applyAlignment="1">
      <alignment horizontal="left"/>
    </xf>
    <xf numFmtId="176" fontId="51" fillId="0" borderId="120" xfId="0" applyNumberFormat="1" applyFont="1" applyBorder="1" applyAlignment="1">
      <alignment shrinkToFit="1"/>
    </xf>
    <xf numFmtId="38" fontId="78" fillId="7" borderId="128" xfId="7" applyNumberFormat="1" applyFont="1" applyFill="1" applyBorder="1">
      <alignment vertical="center"/>
    </xf>
    <xf numFmtId="194" fontId="78" fillId="0" borderId="128" xfId="7" applyNumberFormat="1" applyFont="1" applyBorder="1">
      <alignment vertical="center"/>
    </xf>
    <xf numFmtId="189" fontId="51" fillId="7" borderId="128" xfId="0" applyNumberFormat="1" applyFont="1" applyFill="1" applyBorder="1" applyAlignment="1">
      <alignment shrinkToFit="1"/>
    </xf>
    <xf numFmtId="0" fontId="53" fillId="7" borderId="128" xfId="0" applyFont="1" applyFill="1" applyBorder="1" applyAlignment="1">
      <alignment shrinkToFit="1"/>
    </xf>
    <xf numFmtId="2" fontId="51" fillId="7" borderId="129" xfId="0" applyNumberFormat="1" applyFont="1" applyFill="1" applyBorder="1" applyAlignment="1">
      <alignment shrinkToFit="1"/>
    </xf>
    <xf numFmtId="189" fontId="42" fillId="0" borderId="0" xfId="0" applyNumberFormat="1" applyFont="1"/>
    <xf numFmtId="2" fontId="33" fillId="6" borderId="21" xfId="0" applyNumberFormat="1" applyFont="1" applyFill="1" applyBorder="1" applyAlignment="1">
      <alignment horizontal="center"/>
    </xf>
    <xf numFmtId="0" fontId="19" fillId="18" borderId="56" xfId="0" applyFont="1" applyFill="1" applyBorder="1"/>
    <xf numFmtId="0" fontId="43" fillId="0" borderId="0" xfId="0" applyFont="1"/>
    <xf numFmtId="0" fontId="8" fillId="0" borderId="0" xfId="0" quotePrefix="1" applyFont="1" applyAlignment="1">
      <alignment horizontal="center"/>
    </xf>
    <xf numFmtId="0" fontId="19" fillId="0" borderId="77" xfId="0" applyFont="1" applyBorder="1"/>
    <xf numFmtId="0" fontId="19" fillId="0" borderId="78" xfId="0" applyFont="1" applyBorder="1"/>
    <xf numFmtId="181" fontId="8" fillId="5" borderId="2" xfId="0" applyNumberFormat="1" applyFont="1" applyFill="1" applyBorder="1"/>
    <xf numFmtId="181" fontId="8" fillId="5" borderId="57" xfId="0" applyNumberFormat="1" applyFont="1" applyFill="1" applyBorder="1"/>
    <xf numFmtId="181" fontId="8" fillId="18" borderId="2" xfId="0" applyNumberFormat="1" applyFont="1" applyFill="1" applyBorder="1"/>
    <xf numFmtId="181" fontId="8" fillId="18" borderId="57" xfId="0" applyNumberFormat="1" applyFont="1" applyFill="1" applyBorder="1"/>
    <xf numFmtId="181" fontId="8" fillId="18" borderId="59" xfId="0" applyNumberFormat="1" applyFont="1" applyFill="1" applyBorder="1"/>
    <xf numFmtId="181" fontId="8" fillId="18" borderId="44" xfId="0" applyNumberFormat="1" applyFont="1" applyFill="1" applyBorder="1"/>
    <xf numFmtId="0" fontId="33" fillId="0" borderId="31" xfId="0" applyFont="1" applyBorder="1" applyAlignment="1">
      <alignment vertical="center" wrapText="1"/>
    </xf>
    <xf numFmtId="189" fontId="8" fillId="5" borderId="2" xfId="0" applyNumberFormat="1" applyFont="1" applyFill="1" applyBorder="1"/>
    <xf numFmtId="189" fontId="8" fillId="18" borderId="2" xfId="0" applyNumberFormat="1" applyFont="1" applyFill="1" applyBorder="1"/>
    <xf numFmtId="189" fontId="8" fillId="18" borderId="59" xfId="0" applyNumberFormat="1" applyFont="1" applyFill="1" applyBorder="1"/>
    <xf numFmtId="181" fontId="8" fillId="0" borderId="15" xfId="0" applyNumberFormat="1" applyFont="1" applyBorder="1"/>
    <xf numFmtId="0" fontId="19" fillId="5" borderId="56" xfId="0" applyFont="1" applyFill="1" applyBorder="1"/>
    <xf numFmtId="0" fontId="19" fillId="18" borderId="58" xfId="0" applyFont="1" applyFill="1" applyBorder="1"/>
    <xf numFmtId="2" fontId="8" fillId="5" borderId="56" xfId="0" applyNumberFormat="1" applyFont="1" applyFill="1" applyBorder="1"/>
    <xf numFmtId="2" fontId="8" fillId="18" borderId="56" xfId="0" applyNumberFormat="1" applyFont="1" applyFill="1" applyBorder="1"/>
    <xf numFmtId="2" fontId="8" fillId="18" borderId="58" xfId="0" applyNumberFormat="1" applyFont="1" applyFill="1" applyBorder="1"/>
    <xf numFmtId="0" fontId="40" fillId="0" borderId="0" xfId="0" applyFont="1" applyAlignment="1">
      <alignment horizontal="right"/>
    </xf>
    <xf numFmtId="2" fontId="8" fillId="5" borderId="97" xfId="7" applyNumberFormat="1" applyFont="1" applyFill="1" applyBorder="1">
      <alignment vertical="center"/>
    </xf>
    <xf numFmtId="0" fontId="5" fillId="5" borderId="103" xfId="7" applyFill="1" applyBorder="1">
      <alignment vertical="center"/>
    </xf>
    <xf numFmtId="186" fontId="8" fillId="20" borderId="21" xfId="0" applyNumberFormat="1" applyFont="1" applyFill="1" applyBorder="1"/>
    <xf numFmtId="194" fontId="11" fillId="0" borderId="21" xfId="1" applyNumberFormat="1" applyFont="1" applyBorder="1" applyAlignment="1"/>
    <xf numFmtId="189" fontId="11" fillId="0" borderId="21" xfId="0" applyNumberFormat="1" applyFont="1" applyBorder="1"/>
    <xf numFmtId="0" fontId="8" fillId="0" borderId="3" xfId="0" applyFont="1" applyBorder="1"/>
    <xf numFmtId="0" fontId="8" fillId="0" borderId="13" xfId="0" applyFont="1" applyBorder="1"/>
    <xf numFmtId="0" fontId="51" fillId="8" borderId="15" xfId="0" applyFont="1" applyFill="1" applyBorder="1" applyAlignment="1">
      <alignment horizontal="center"/>
    </xf>
    <xf numFmtId="181" fontId="8" fillId="8" borderId="22" xfId="0" applyNumberFormat="1" applyFont="1" applyFill="1" applyBorder="1"/>
    <xf numFmtId="0" fontId="0" fillId="8" borderId="22" xfId="0" applyFill="1" applyBorder="1"/>
    <xf numFmtId="0" fontId="51" fillId="8" borderId="22" xfId="0" applyFont="1" applyFill="1" applyBorder="1" applyAlignment="1">
      <alignment horizontal="center"/>
    </xf>
    <xf numFmtId="0" fontId="8" fillId="8" borderId="22" xfId="0" applyFont="1" applyFill="1" applyBorder="1"/>
    <xf numFmtId="0" fontId="40" fillId="8" borderId="9" xfId="0" applyFont="1" applyFill="1" applyBorder="1"/>
    <xf numFmtId="0" fontId="62" fillId="8" borderId="16" xfId="0" applyFont="1" applyFill="1" applyBorder="1"/>
    <xf numFmtId="0" fontId="40" fillId="8" borderId="16" xfId="0" applyFont="1" applyFill="1" applyBorder="1"/>
    <xf numFmtId="0" fontId="40" fillId="8" borderId="32" xfId="0" applyFont="1" applyFill="1" applyBorder="1"/>
    <xf numFmtId="0" fontId="82" fillId="8" borderId="0" xfId="0" applyFont="1" applyFill="1"/>
    <xf numFmtId="0" fontId="83" fillId="8" borderId="31" xfId="0" applyFont="1" applyFill="1" applyBorder="1"/>
    <xf numFmtId="185" fontId="8" fillId="8" borderId="0" xfId="0" applyNumberFormat="1" applyFont="1" applyFill="1"/>
    <xf numFmtId="0" fontId="84" fillId="8" borderId="12" xfId="7" applyFont="1" applyFill="1" applyBorder="1" applyAlignment="1">
      <alignment horizontal="center" vertical="center" wrapText="1"/>
    </xf>
    <xf numFmtId="189" fontId="8" fillId="20" borderId="1" xfId="0" applyNumberFormat="1" applyFont="1" applyFill="1" applyBorder="1"/>
    <xf numFmtId="0" fontId="19" fillId="0" borderId="98" xfId="0" applyFont="1" applyBorder="1"/>
    <xf numFmtId="0" fontId="8" fillId="5" borderId="4" xfId="0" applyFont="1" applyFill="1" applyBorder="1"/>
    <xf numFmtId="0" fontId="8" fillId="18" borderId="4" xfId="0" applyFont="1" applyFill="1" applyBorder="1"/>
    <xf numFmtId="0" fontId="8" fillId="18" borderId="106" xfId="0" applyFont="1" applyFill="1" applyBorder="1"/>
    <xf numFmtId="0" fontId="48" fillId="0" borderId="30" xfId="0" applyFont="1" applyBorder="1"/>
    <xf numFmtId="0" fontId="43" fillId="8" borderId="0" xfId="0" applyFont="1" applyFill="1"/>
    <xf numFmtId="189" fontId="11" fillId="0" borderId="0" xfId="0" applyNumberFormat="1" applyFont="1"/>
    <xf numFmtId="2" fontId="8" fillId="5" borderId="4" xfId="0" applyNumberFormat="1" applyFont="1" applyFill="1" applyBorder="1"/>
    <xf numFmtId="2" fontId="8" fillId="18" borderId="4" xfId="0" applyNumberFormat="1" applyFont="1" applyFill="1" applyBorder="1"/>
    <xf numFmtId="0" fontId="8" fillId="0" borderId="126" xfId="0" applyFont="1" applyBorder="1"/>
    <xf numFmtId="176" fontId="8" fillId="26" borderId="101" xfId="0" applyNumberFormat="1" applyFont="1" applyFill="1" applyBorder="1"/>
    <xf numFmtId="176" fontId="8" fillId="26" borderId="103" xfId="0" applyNumberFormat="1" applyFont="1" applyFill="1" applyBorder="1"/>
    <xf numFmtId="0" fontId="43" fillId="7" borderId="33" xfId="0" applyFont="1" applyFill="1" applyBorder="1" applyAlignment="1">
      <alignment horizontal="right"/>
    </xf>
    <xf numFmtId="0" fontId="9" fillId="0" borderId="142" xfId="0" applyFont="1" applyBorder="1" applyAlignment="1">
      <alignment horizontal="center"/>
    </xf>
    <xf numFmtId="2" fontId="8" fillId="0" borderId="143" xfId="0" applyNumberFormat="1" applyFont="1" applyBorder="1"/>
    <xf numFmtId="2" fontId="8" fillId="0" borderId="144" xfId="0" applyNumberFormat="1" applyFont="1" applyBorder="1"/>
    <xf numFmtId="2" fontId="85" fillId="0" borderId="28" xfId="0" applyNumberFormat="1" applyFont="1" applyBorder="1"/>
    <xf numFmtId="2" fontId="85" fillId="25" borderId="28" xfId="0" applyNumberFormat="1" applyFont="1" applyFill="1" applyBorder="1"/>
    <xf numFmtId="0" fontId="87" fillId="0" borderId="2" xfId="7" applyFont="1" applyBorder="1" applyAlignment="1">
      <alignment horizontal="center" vertical="center"/>
    </xf>
    <xf numFmtId="0" fontId="88" fillId="0" borderId="4" xfId="7" applyFont="1" applyBorder="1">
      <alignment vertical="center"/>
    </xf>
    <xf numFmtId="0" fontId="87" fillId="0" borderId="2" xfId="7" quotePrefix="1" applyFont="1" applyBorder="1" applyAlignment="1">
      <alignment horizontal="center" vertical="center"/>
    </xf>
    <xf numFmtId="2" fontId="88" fillId="0" borderId="4" xfId="7" applyNumberFormat="1" applyFont="1" applyBorder="1">
      <alignment vertical="center"/>
    </xf>
    <xf numFmtId="0" fontId="86" fillId="0" borderId="0" xfId="7" applyFont="1">
      <alignment vertical="center"/>
    </xf>
    <xf numFmtId="1" fontId="88" fillId="0" borderId="4" xfId="7" applyNumberFormat="1" applyFont="1" applyBorder="1">
      <alignment vertical="center"/>
    </xf>
    <xf numFmtId="0" fontId="89" fillId="0" borderId="4" xfId="7" applyFont="1" applyBorder="1">
      <alignment vertical="center"/>
    </xf>
    <xf numFmtId="0" fontId="89" fillId="0" borderId="28" xfId="7" applyFont="1" applyBorder="1">
      <alignment vertical="center"/>
    </xf>
    <xf numFmtId="0" fontId="88" fillId="0" borderId="4" xfId="8" applyNumberFormat="1" applyFont="1" applyBorder="1">
      <alignment vertical="center"/>
    </xf>
    <xf numFmtId="189" fontId="88" fillId="0" borderId="4" xfId="8" applyNumberFormat="1" applyFont="1" applyBorder="1">
      <alignment vertical="center"/>
    </xf>
    <xf numFmtId="192" fontId="88" fillId="0" borderId="4" xfId="7" applyNumberFormat="1" applyFont="1" applyBorder="1">
      <alignment vertical="center"/>
    </xf>
    <xf numFmtId="189" fontId="88" fillId="0" borderId="4" xfId="7" applyNumberFormat="1" applyFont="1" applyBorder="1">
      <alignment vertical="center"/>
    </xf>
    <xf numFmtId="0" fontId="86" fillId="0" borderId="2" xfId="7" applyFont="1" applyBorder="1">
      <alignment vertical="center"/>
    </xf>
    <xf numFmtId="38" fontId="88" fillId="0" borderId="4" xfId="1" applyFont="1" applyBorder="1">
      <alignment vertical="center"/>
    </xf>
    <xf numFmtId="0" fontId="85" fillId="0" borderId="0" xfId="0" applyFont="1"/>
    <xf numFmtId="0" fontId="87" fillId="7" borderId="4" xfId="7" applyFont="1" applyFill="1" applyBorder="1" applyAlignment="1">
      <alignment horizontal="center" vertical="center"/>
    </xf>
    <xf numFmtId="0" fontId="86" fillId="7" borderId="4" xfId="7" applyFont="1" applyFill="1" applyBorder="1" applyAlignment="1">
      <alignment horizontal="center" vertical="center"/>
    </xf>
    <xf numFmtId="0" fontId="87" fillId="7" borderId="28" xfId="7" applyFont="1" applyFill="1" applyBorder="1" applyAlignment="1">
      <alignment horizontal="center" vertical="center"/>
    </xf>
    <xf numFmtId="0" fontId="87" fillId="7" borderId="2" xfId="7" applyFont="1" applyFill="1" applyBorder="1" applyAlignment="1">
      <alignment horizontal="center" vertical="center"/>
    </xf>
    <xf numFmtId="0" fontId="86" fillId="7" borderId="28" xfId="7" applyFont="1" applyFill="1" applyBorder="1" applyAlignment="1">
      <alignment horizontal="center" vertical="center" wrapText="1"/>
    </xf>
    <xf numFmtId="0" fontId="86" fillId="7" borderId="2" xfId="7" applyFont="1" applyFill="1" applyBorder="1" applyAlignment="1">
      <alignment horizontal="center" vertical="center" wrapText="1"/>
    </xf>
    <xf numFmtId="0" fontId="88" fillId="0" borderId="28" xfId="7" applyFont="1" applyBorder="1">
      <alignment vertical="center"/>
    </xf>
    <xf numFmtId="0" fontId="90" fillId="0" borderId="2" xfId="0" applyFont="1" applyBorder="1"/>
    <xf numFmtId="0" fontId="88" fillId="0" borderId="2" xfId="7" applyFont="1" applyBorder="1">
      <alignment vertical="center"/>
    </xf>
    <xf numFmtId="1" fontId="88" fillId="0" borderId="28" xfId="7" applyNumberFormat="1" applyFont="1" applyBorder="1">
      <alignment vertical="center"/>
    </xf>
    <xf numFmtId="1" fontId="90" fillId="0" borderId="2" xfId="0" applyNumberFormat="1" applyFont="1" applyBorder="1"/>
    <xf numFmtId="1" fontId="88" fillId="0" borderId="2" xfId="7" applyNumberFormat="1" applyFont="1" applyBorder="1">
      <alignment vertical="center"/>
    </xf>
    <xf numFmtId="2" fontId="88" fillId="0" borderId="28" xfId="7" applyNumberFormat="1" applyFont="1" applyBorder="1">
      <alignment vertical="center"/>
    </xf>
    <xf numFmtId="2" fontId="90" fillId="0" borderId="2" xfId="0" applyNumberFormat="1" applyFont="1" applyBorder="1"/>
    <xf numFmtId="2" fontId="88" fillId="0" borderId="2" xfId="7" applyNumberFormat="1" applyFont="1" applyBorder="1">
      <alignment vertical="center"/>
    </xf>
    <xf numFmtId="0" fontId="86" fillId="0" borderId="28" xfId="7" applyFont="1" applyBorder="1">
      <alignment vertical="center"/>
    </xf>
    <xf numFmtId="0" fontId="88" fillId="0" borderId="28" xfId="8" applyNumberFormat="1" applyFont="1" applyBorder="1">
      <alignment vertical="center"/>
    </xf>
    <xf numFmtId="1" fontId="88" fillId="0" borderId="2" xfId="8" applyNumberFormat="1" applyFont="1" applyBorder="1">
      <alignment vertical="center"/>
    </xf>
    <xf numFmtId="1" fontId="88" fillId="0" borderId="28" xfId="8" applyNumberFormat="1" applyFont="1" applyBorder="1">
      <alignment vertical="center"/>
    </xf>
    <xf numFmtId="0" fontId="88" fillId="0" borderId="2" xfId="8" applyNumberFormat="1" applyFont="1" applyBorder="1">
      <alignment vertical="center"/>
    </xf>
    <xf numFmtId="189" fontId="88" fillId="0" borderId="28" xfId="8" applyNumberFormat="1" applyFont="1" applyBorder="1">
      <alignment vertical="center"/>
    </xf>
    <xf numFmtId="189" fontId="88" fillId="0" borderId="2" xfId="8" applyNumberFormat="1" applyFont="1" applyBorder="1">
      <alignment vertical="center"/>
    </xf>
    <xf numFmtId="189" fontId="90" fillId="0" borderId="2" xfId="0" applyNumberFormat="1" applyFont="1" applyBorder="1"/>
    <xf numFmtId="192" fontId="88" fillId="0" borderId="28" xfId="7" applyNumberFormat="1" applyFont="1" applyBorder="1">
      <alignment vertical="center"/>
    </xf>
    <xf numFmtId="192" fontId="88" fillId="0" borderId="2" xfId="7" applyNumberFormat="1" applyFont="1" applyBorder="1">
      <alignment vertical="center"/>
    </xf>
    <xf numFmtId="192" fontId="90" fillId="0" borderId="2" xfId="0" applyNumberFormat="1" applyFont="1" applyBorder="1"/>
    <xf numFmtId="189" fontId="88" fillId="0" borderId="28" xfId="7" applyNumberFormat="1" applyFont="1" applyBorder="1">
      <alignment vertical="center"/>
    </xf>
    <xf numFmtId="189" fontId="88" fillId="0" borderId="2" xfId="7" applyNumberFormat="1" applyFont="1" applyBorder="1">
      <alignment vertical="center"/>
    </xf>
    <xf numFmtId="38" fontId="88" fillId="0" borderId="28" xfId="1" applyFont="1" applyBorder="1">
      <alignment vertical="center"/>
    </xf>
    <xf numFmtId="38" fontId="88" fillId="0" borderId="2" xfId="1" applyFont="1" applyBorder="1">
      <alignment vertical="center"/>
    </xf>
    <xf numFmtId="38" fontId="90" fillId="0" borderId="2" xfId="1" applyFont="1" applyBorder="1" applyAlignment="1"/>
    <xf numFmtId="0" fontId="87" fillId="7" borderId="4" xfId="0" applyFont="1" applyFill="1" applyBorder="1" applyAlignment="1">
      <alignment horizontal="center" vertical="center"/>
    </xf>
    <xf numFmtId="0" fontId="87" fillId="7" borderId="28" xfId="0" applyFont="1" applyFill="1" applyBorder="1" applyAlignment="1">
      <alignment horizontal="center" vertical="center"/>
    </xf>
    <xf numFmtId="0" fontId="87" fillId="7" borderId="2" xfId="0" applyFont="1" applyFill="1" applyBorder="1" applyAlignment="1">
      <alignment horizontal="center" vertical="center"/>
    </xf>
    <xf numFmtId="0" fontId="86" fillId="7" borderId="4" xfId="0" applyFont="1" applyFill="1" applyBorder="1" applyAlignment="1">
      <alignment horizontal="center" vertical="center"/>
    </xf>
    <xf numFmtId="0" fontId="86" fillId="7" borderId="28" xfId="0" applyFont="1" applyFill="1" applyBorder="1" applyAlignment="1">
      <alignment horizontal="center" vertical="center"/>
    </xf>
    <xf numFmtId="0" fontId="86" fillId="7" borderId="2" xfId="0" applyFont="1" applyFill="1" applyBorder="1" applyAlignment="1">
      <alignment horizontal="center" vertical="center"/>
    </xf>
    <xf numFmtId="0" fontId="85" fillId="0" borderId="2" xfId="0" applyFont="1" applyBorder="1" applyAlignment="1">
      <alignment horizontal="left"/>
    </xf>
    <xf numFmtId="0" fontId="86" fillId="0" borderId="2" xfId="0" applyFont="1" applyBorder="1" applyAlignment="1">
      <alignment horizontal="center"/>
    </xf>
    <xf numFmtId="0" fontId="90" fillId="0" borderId="4" xfId="0" applyFont="1" applyBorder="1"/>
    <xf numFmtId="2" fontId="90" fillId="0" borderId="4" xfId="0" applyNumberFormat="1" applyFont="1" applyBorder="1"/>
    <xf numFmtId="0" fontId="85" fillId="27" borderId="2" xfId="0" applyFont="1" applyFill="1" applyBorder="1" applyAlignment="1">
      <alignment horizontal="left"/>
    </xf>
    <xf numFmtId="0" fontId="85" fillId="28" borderId="2" xfId="0" applyFont="1" applyFill="1" applyBorder="1" applyAlignment="1">
      <alignment horizontal="left"/>
    </xf>
    <xf numFmtId="0" fontId="85" fillId="2" borderId="2" xfId="0" applyFont="1" applyFill="1" applyBorder="1" applyAlignment="1">
      <alignment horizontal="left"/>
    </xf>
    <xf numFmtId="0" fontId="85" fillId="0" borderId="4" xfId="0" applyFont="1" applyBorder="1"/>
    <xf numFmtId="1" fontId="90" fillId="19" borderId="4" xfId="0" applyNumberFormat="1" applyFont="1" applyFill="1" applyBorder="1"/>
    <xf numFmtId="1" fontId="90" fillId="0" borderId="4" xfId="0" applyNumberFormat="1" applyFont="1" applyBorder="1"/>
    <xf numFmtId="0" fontId="85" fillId="0" borderId="28" xfId="0" applyFont="1" applyBorder="1" applyAlignment="1">
      <alignment horizontal="left"/>
    </xf>
    <xf numFmtId="176" fontId="90" fillId="19" borderId="4" xfId="0" applyNumberFormat="1" applyFont="1" applyFill="1" applyBorder="1"/>
    <xf numFmtId="180" fontId="90" fillId="0" borderId="4" xfId="0" applyNumberFormat="1" applyFont="1" applyBorder="1"/>
    <xf numFmtId="0" fontId="86" fillId="4" borderId="2" xfId="0" applyFont="1" applyFill="1" applyBorder="1" applyAlignment="1">
      <alignment horizontal="center"/>
    </xf>
    <xf numFmtId="1" fontId="90" fillId="4" borderId="4" xfId="0" applyNumberFormat="1" applyFont="1" applyFill="1" applyBorder="1"/>
    <xf numFmtId="192" fontId="90" fillId="4" borderId="4" xfId="0" applyNumberFormat="1" applyFont="1" applyFill="1" applyBorder="1"/>
    <xf numFmtId="0" fontId="87" fillId="0" borderId="4" xfId="0" applyFont="1" applyBorder="1" applyAlignment="1">
      <alignment horizontal="center"/>
    </xf>
    <xf numFmtId="0" fontId="87" fillId="0" borderId="0" xfId="0" applyFont="1" applyAlignment="1">
      <alignment horizontal="center"/>
    </xf>
    <xf numFmtId="0" fontId="87" fillId="0" borderId="28" xfId="0" applyFont="1" applyBorder="1" applyAlignment="1">
      <alignment horizontal="center" vertical="center"/>
    </xf>
    <xf numFmtId="0" fontId="87" fillId="0" borderId="2" xfId="0" applyFont="1" applyBorder="1" applyAlignment="1">
      <alignment horizontal="center"/>
    </xf>
    <xf numFmtId="0" fontId="87" fillId="0" borderId="0" xfId="0" applyFont="1" applyAlignment="1">
      <alignment horizontal="center" vertical="center"/>
    </xf>
    <xf numFmtId="0" fontId="90" fillId="0" borderId="28" xfId="0" applyFont="1" applyBorder="1" applyAlignment="1">
      <alignment vertical="center"/>
    </xf>
    <xf numFmtId="0" fontId="85" fillId="0" borderId="2" xfId="0" applyFont="1" applyBorder="1"/>
    <xf numFmtId="1" fontId="90" fillId="0" borderId="28" xfId="0" applyNumberFormat="1" applyFont="1" applyBorder="1" applyAlignment="1">
      <alignment vertical="center"/>
    </xf>
    <xf numFmtId="2" fontId="90" fillId="0" borderId="28" xfId="0" applyNumberFormat="1" applyFont="1" applyBorder="1" applyAlignment="1">
      <alignment vertical="center"/>
    </xf>
    <xf numFmtId="0" fontId="89" fillId="0" borderId="28" xfId="0" applyFont="1" applyBorder="1" applyAlignment="1">
      <alignment vertical="center"/>
    </xf>
    <xf numFmtId="1" fontId="90" fillId="19" borderId="28" xfId="0" applyNumberFormat="1" applyFont="1" applyFill="1" applyBorder="1" applyAlignment="1">
      <alignment vertical="center"/>
    </xf>
    <xf numFmtId="1" fontId="90" fillId="19" borderId="2" xfId="0" applyNumberFormat="1" applyFont="1" applyFill="1" applyBorder="1"/>
    <xf numFmtId="189" fontId="90" fillId="19" borderId="28" xfId="0" applyNumberFormat="1" applyFont="1" applyFill="1" applyBorder="1" applyAlignment="1">
      <alignment vertical="center"/>
    </xf>
    <xf numFmtId="0" fontId="90" fillId="19" borderId="28" xfId="0" applyFont="1" applyFill="1" applyBorder="1" applyAlignment="1">
      <alignment vertical="center"/>
    </xf>
    <xf numFmtId="0" fontId="90" fillId="19" borderId="2" xfId="0" applyFont="1" applyFill="1" applyBorder="1" applyAlignment="1">
      <alignment horizontal="right"/>
    </xf>
    <xf numFmtId="0" fontId="85" fillId="0" borderId="28" xfId="0" applyFont="1" applyBorder="1" applyAlignment="1">
      <alignment vertical="center"/>
    </xf>
    <xf numFmtId="1" fontId="90" fillId="4" borderId="28" xfId="0" applyNumberFormat="1" applyFont="1" applyFill="1" applyBorder="1"/>
    <xf numFmtId="1" fontId="90" fillId="4" borderId="2" xfId="0" applyNumberFormat="1" applyFont="1" applyFill="1" applyBorder="1"/>
    <xf numFmtId="2" fontId="90" fillId="4" borderId="4" xfId="0" applyNumberFormat="1" applyFont="1" applyFill="1" applyBorder="1"/>
    <xf numFmtId="2" fontId="90" fillId="4" borderId="28" xfId="0" applyNumberFormat="1" applyFont="1" applyFill="1" applyBorder="1"/>
    <xf numFmtId="192" fontId="90" fillId="4" borderId="2" xfId="0" applyNumberFormat="1" applyFont="1" applyFill="1" applyBorder="1"/>
    <xf numFmtId="0" fontId="85" fillId="4" borderId="4" xfId="0" applyFont="1" applyFill="1" applyBorder="1"/>
    <xf numFmtId="1" fontId="90" fillId="0" borderId="28" xfId="0" applyNumberFormat="1" applyFont="1" applyBorder="1"/>
    <xf numFmtId="0" fontId="90" fillId="0" borderId="28" xfId="0" applyFont="1" applyBorder="1"/>
    <xf numFmtId="2" fontId="90" fillId="0" borderId="28" xfId="0" applyNumberFormat="1" applyFont="1" applyBorder="1"/>
    <xf numFmtId="2" fontId="85" fillId="0" borderId="2" xfId="0" applyNumberFormat="1" applyFont="1" applyBorder="1"/>
    <xf numFmtId="0" fontId="85" fillId="0" borderId="28" xfId="0" applyFont="1" applyBorder="1"/>
    <xf numFmtId="1" fontId="90" fillId="19" borderId="28" xfId="0" applyNumberFormat="1" applyFont="1" applyFill="1" applyBorder="1"/>
    <xf numFmtId="1" fontId="90" fillId="0" borderId="0" xfId="0" applyNumberFormat="1" applyFont="1"/>
    <xf numFmtId="1" fontId="85" fillId="0" borderId="2" xfId="0" applyNumberFormat="1" applyFont="1" applyBorder="1"/>
    <xf numFmtId="189" fontId="90" fillId="19" borderId="28" xfId="0" applyNumberFormat="1" applyFont="1" applyFill="1" applyBorder="1"/>
    <xf numFmtId="189" fontId="90" fillId="19" borderId="2" xfId="0" applyNumberFormat="1" applyFont="1" applyFill="1" applyBorder="1"/>
    <xf numFmtId="2" fontId="90" fillId="4" borderId="2" xfId="0" applyNumberFormat="1" applyFont="1" applyFill="1" applyBorder="1"/>
    <xf numFmtId="192" fontId="90" fillId="4" borderId="28" xfId="0" applyNumberFormat="1" applyFont="1" applyFill="1" applyBorder="1"/>
    <xf numFmtId="0" fontId="85" fillId="4" borderId="2" xfId="0" applyFont="1" applyFill="1" applyBorder="1"/>
    <xf numFmtId="0" fontId="90" fillId="4" borderId="2" xfId="0" applyFont="1" applyFill="1" applyBorder="1"/>
    <xf numFmtId="2" fontId="33" fillId="21" borderId="2" xfId="0" applyNumberFormat="1" applyFont="1" applyFill="1" applyBorder="1"/>
    <xf numFmtId="0" fontId="91" fillId="0" borderId="0" xfId="0" applyFont="1"/>
    <xf numFmtId="0" fontId="91" fillId="0" borderId="0" xfId="0" applyFont="1" applyAlignment="1">
      <alignment horizontal="center"/>
    </xf>
    <xf numFmtId="0" fontId="92" fillId="7" borderId="2" xfId="7" applyFont="1" applyFill="1" applyBorder="1" applyAlignment="1">
      <alignment horizontal="center" vertical="center"/>
    </xf>
    <xf numFmtId="0" fontId="92" fillId="7" borderId="2" xfId="7" applyFont="1" applyFill="1" applyBorder="1" applyAlignment="1">
      <alignment horizontal="center" vertical="center" wrapText="1"/>
    </xf>
    <xf numFmtId="0" fontId="64" fillId="0" borderId="2" xfId="7" applyFont="1" applyBorder="1">
      <alignment vertical="center"/>
    </xf>
    <xf numFmtId="0" fontId="93" fillId="0" borderId="2" xfId="7" applyFont="1" applyBorder="1" applyAlignment="1">
      <alignment horizontal="center" vertical="center"/>
    </xf>
    <xf numFmtId="0" fontId="91" fillId="0" borderId="2" xfId="7" applyFont="1" applyBorder="1" applyAlignment="1">
      <alignment horizontal="center" vertical="center"/>
    </xf>
    <xf numFmtId="0" fontId="64" fillId="0" borderId="2" xfId="7" applyFont="1" applyBorder="1" applyAlignment="1">
      <alignment horizontal="center" vertical="center"/>
    </xf>
    <xf numFmtId="38" fontId="91" fillId="0" borderId="2" xfId="7" applyNumberFormat="1" applyFont="1" applyBorder="1" applyAlignment="1">
      <alignment horizontal="center" vertical="center"/>
    </xf>
    <xf numFmtId="189" fontId="64" fillId="0" borderId="2" xfId="7" applyNumberFormat="1" applyFont="1" applyBorder="1" applyAlignment="1">
      <alignment horizontal="center" vertical="center"/>
    </xf>
    <xf numFmtId="0" fontId="64" fillId="0" borderId="4" xfId="7" applyFont="1" applyBorder="1">
      <alignment vertical="center"/>
    </xf>
    <xf numFmtId="0" fontId="64" fillId="0" borderId="28" xfId="7" applyFont="1" applyBorder="1">
      <alignment vertical="center"/>
    </xf>
    <xf numFmtId="0" fontId="93" fillId="0" borderId="2" xfId="7" quotePrefix="1" applyFont="1" applyBorder="1" applyAlignment="1">
      <alignment horizontal="center" vertical="center"/>
    </xf>
    <xf numFmtId="2" fontId="91" fillId="0" borderId="2" xfId="7" applyNumberFormat="1" applyFont="1" applyBorder="1" applyAlignment="1">
      <alignment horizontal="center" vertical="center"/>
    </xf>
    <xf numFmtId="2" fontId="64" fillId="0" borderId="2" xfId="7" applyNumberFormat="1" applyFont="1" applyBorder="1" applyAlignment="1">
      <alignment horizontal="center" vertical="center"/>
    </xf>
    <xf numFmtId="194" fontId="91" fillId="0" borderId="2" xfId="7" applyNumberFormat="1" applyFont="1" applyBorder="1" applyAlignment="1">
      <alignment horizontal="center" vertical="center"/>
    </xf>
    <xf numFmtId="0" fontId="64" fillId="0" borderId="25" xfId="7" applyFont="1" applyBorder="1">
      <alignment vertical="center"/>
    </xf>
    <xf numFmtId="40" fontId="91" fillId="0" borderId="2" xfId="7" applyNumberFormat="1" applyFont="1" applyBorder="1">
      <alignment vertical="center"/>
    </xf>
    <xf numFmtId="38" fontId="91" fillId="0" borderId="2" xfId="7" applyNumberFormat="1" applyFont="1" applyBorder="1">
      <alignment vertical="center"/>
    </xf>
    <xf numFmtId="194" fontId="91" fillId="0" borderId="2" xfId="7" applyNumberFormat="1" applyFont="1" applyBorder="1">
      <alignment vertical="center"/>
    </xf>
    <xf numFmtId="0" fontId="91" fillId="0" borderId="2" xfId="7" applyFont="1" applyBorder="1">
      <alignment vertical="center"/>
    </xf>
    <xf numFmtId="189" fontId="91" fillId="0" borderId="2" xfId="7" applyNumberFormat="1" applyFont="1" applyBorder="1">
      <alignment vertical="center"/>
    </xf>
    <xf numFmtId="38" fontId="64" fillId="0" borderId="2" xfId="8" applyFont="1" applyBorder="1">
      <alignment vertical="center"/>
    </xf>
    <xf numFmtId="194" fontId="91" fillId="0" borderId="2" xfId="8" applyNumberFormat="1" applyFont="1" applyBorder="1">
      <alignment vertical="center"/>
    </xf>
    <xf numFmtId="38" fontId="91" fillId="0" borderId="2" xfId="8" applyFont="1" applyBorder="1">
      <alignment vertical="center"/>
    </xf>
    <xf numFmtId="2" fontId="91" fillId="0" borderId="2" xfId="7" applyNumberFormat="1" applyFont="1" applyBorder="1">
      <alignment vertical="center"/>
    </xf>
    <xf numFmtId="1" fontId="64" fillId="0" borderId="2" xfId="7" applyNumberFormat="1" applyFont="1" applyBorder="1">
      <alignment vertical="center"/>
    </xf>
    <xf numFmtId="189" fontId="64" fillId="0" borderId="2" xfId="7" applyNumberFormat="1" applyFont="1" applyBorder="1">
      <alignment vertical="center"/>
    </xf>
    <xf numFmtId="192" fontId="91" fillId="0" borderId="2" xfId="7" applyNumberFormat="1" applyFont="1" applyBorder="1">
      <alignment vertical="center"/>
    </xf>
    <xf numFmtId="2" fontId="64" fillId="0" borderId="2" xfId="7" applyNumberFormat="1" applyFont="1" applyBorder="1">
      <alignment vertical="center"/>
    </xf>
    <xf numFmtId="0" fontId="94" fillId="0" borderId="0" xfId="7" applyFont="1">
      <alignment vertical="center"/>
    </xf>
    <xf numFmtId="0" fontId="95" fillId="0" borderId="0" xfId="7" applyFont="1">
      <alignment vertical="center"/>
    </xf>
    <xf numFmtId="0" fontId="64" fillId="7" borderId="4" xfId="7" applyFont="1" applyFill="1" applyBorder="1">
      <alignment vertical="center"/>
    </xf>
    <xf numFmtId="0" fontId="64" fillId="7" borderId="25" xfId="7" applyFont="1" applyFill="1" applyBorder="1">
      <alignment vertical="center"/>
    </xf>
    <xf numFmtId="0" fontId="64" fillId="7" borderId="28" xfId="7" applyFont="1" applyFill="1" applyBorder="1">
      <alignment vertical="center"/>
    </xf>
    <xf numFmtId="0" fontId="91" fillId="7" borderId="4" xfId="7" applyFont="1" applyFill="1" applyBorder="1">
      <alignment vertical="center"/>
    </xf>
    <xf numFmtId="0" fontId="91" fillId="7" borderId="25" xfId="7" applyFont="1" applyFill="1" applyBorder="1" applyAlignment="1">
      <alignment horizontal="right" vertical="center"/>
    </xf>
    <xf numFmtId="0" fontId="91" fillId="7" borderId="25" xfId="0" applyFont="1" applyFill="1" applyBorder="1"/>
    <xf numFmtId="0" fontId="91" fillId="7" borderId="28" xfId="0" applyFont="1" applyFill="1" applyBorder="1"/>
    <xf numFmtId="0" fontId="92" fillId="7" borderId="2" xfId="0" applyFont="1" applyFill="1" applyBorder="1" applyAlignment="1">
      <alignment horizontal="center"/>
    </xf>
    <xf numFmtId="38" fontId="91" fillId="0" borderId="2" xfId="8" applyFont="1" applyBorder="1" applyAlignment="1">
      <alignment horizontal="center" vertical="center"/>
    </xf>
    <xf numFmtId="38" fontId="64" fillId="0" borderId="2" xfId="8" applyFont="1" applyBorder="1" applyAlignment="1">
      <alignment horizontal="center" vertical="center"/>
    </xf>
    <xf numFmtId="1" fontId="91" fillId="0" borderId="2" xfId="7" applyNumberFormat="1" applyFont="1" applyBorder="1">
      <alignment vertical="center"/>
    </xf>
    <xf numFmtId="189" fontId="91" fillId="0" borderId="2" xfId="7" applyNumberFormat="1" applyFont="1" applyBorder="1" applyAlignment="1">
      <alignment horizontal="center" vertical="center"/>
    </xf>
    <xf numFmtId="194" fontId="64" fillId="0" borderId="2" xfId="8" applyNumberFormat="1" applyFont="1" applyBorder="1">
      <alignment vertical="center"/>
    </xf>
    <xf numFmtId="0" fontId="93" fillId="0" borderId="2" xfId="7" applyFont="1" applyBorder="1">
      <alignment vertical="center"/>
    </xf>
    <xf numFmtId="40" fontId="91" fillId="0" borderId="2" xfId="8" applyNumberFormat="1" applyFont="1" applyBorder="1">
      <alignment vertical="center"/>
    </xf>
    <xf numFmtId="195" fontId="91" fillId="0" borderId="2" xfId="8" applyNumberFormat="1" applyFont="1" applyBorder="1">
      <alignment vertical="center"/>
    </xf>
    <xf numFmtId="0" fontId="64" fillId="0" borderId="2" xfId="7" applyFont="1" applyBorder="1" applyAlignment="1">
      <alignment horizontal="right" vertical="center"/>
    </xf>
    <xf numFmtId="0" fontId="96" fillId="7" borderId="145" xfId="0" applyFont="1" applyFill="1" applyBorder="1"/>
    <xf numFmtId="0" fontId="99" fillId="0" borderId="145" xfId="0" applyFont="1" applyBorder="1" applyAlignment="1">
      <alignment horizontal="center" vertical="center"/>
    </xf>
    <xf numFmtId="0" fontId="99" fillId="0" borderId="145" xfId="0" applyFont="1" applyBorder="1"/>
    <xf numFmtId="178" fontId="99" fillId="0" borderId="145" xfId="0" applyNumberFormat="1" applyFont="1" applyBorder="1" applyAlignment="1">
      <alignment horizontal="center" vertical="center"/>
    </xf>
    <xf numFmtId="0" fontId="99" fillId="0" borderId="145" xfId="0" applyFont="1" applyBorder="1" applyAlignment="1">
      <alignment horizontal="center"/>
    </xf>
    <xf numFmtId="0" fontId="97" fillId="7" borderId="146" xfId="0" applyFont="1" applyFill="1" applyBorder="1" applyAlignment="1">
      <alignment horizontal="center" vertical="center"/>
    </xf>
    <xf numFmtId="0" fontId="97" fillId="7" borderId="146" xfId="0" applyFont="1" applyFill="1" applyBorder="1" applyAlignment="1">
      <alignment horizontal="center"/>
    </xf>
    <xf numFmtId="0" fontId="97" fillId="7" borderId="146" xfId="0" applyFont="1" applyFill="1" applyBorder="1"/>
    <xf numFmtId="0" fontId="96" fillId="7" borderId="146" xfId="0" applyFont="1" applyFill="1" applyBorder="1"/>
    <xf numFmtId="0" fontId="98" fillId="7" borderId="146" xfId="0" applyFont="1" applyFill="1" applyBorder="1"/>
    <xf numFmtId="189" fontId="100" fillId="0" borderId="146" xfId="0" applyNumberFormat="1" applyFont="1" applyBorder="1" applyAlignment="1">
      <alignment horizontal="center"/>
    </xf>
    <xf numFmtId="0" fontId="100" fillId="0" borderId="146" xfId="0" applyFont="1" applyBorder="1"/>
    <xf numFmtId="0" fontId="100" fillId="0" borderId="146" xfId="0" applyFont="1" applyBorder="1" applyAlignment="1">
      <alignment horizontal="right"/>
    </xf>
    <xf numFmtId="189" fontId="99" fillId="0" borderId="146" xfId="0" applyNumberFormat="1" applyFont="1" applyBorder="1" applyAlignment="1">
      <alignment horizontal="center"/>
    </xf>
    <xf numFmtId="0" fontId="99" fillId="0" borderId="146" xfId="0" applyFont="1" applyBorder="1"/>
    <xf numFmtId="0" fontId="101" fillId="0" borderId="146" xfId="0" applyFont="1" applyBorder="1"/>
    <xf numFmtId="0" fontId="87" fillId="7" borderId="25" xfId="0" applyFont="1" applyFill="1" applyBorder="1" applyAlignment="1">
      <alignment horizontal="center" vertical="center"/>
    </xf>
    <xf numFmtId="0" fontId="86" fillId="7" borderId="25" xfId="0" applyFont="1" applyFill="1" applyBorder="1" applyAlignment="1">
      <alignment horizontal="center" vertical="center"/>
    </xf>
    <xf numFmtId="0" fontId="89" fillId="0" borderId="25" xfId="0" applyFont="1" applyBorder="1" applyAlignment="1">
      <alignment horizontal="center"/>
    </xf>
    <xf numFmtId="0" fontId="8" fillId="0" borderId="98" xfId="0" applyFont="1" applyBorder="1"/>
    <xf numFmtId="0" fontId="8" fillId="26" borderId="4" xfId="0" applyFont="1" applyFill="1" applyBorder="1"/>
    <xf numFmtId="189" fontId="8" fillId="26" borderId="106" xfId="0" applyNumberFormat="1" applyFont="1" applyFill="1" applyBorder="1"/>
    <xf numFmtId="2" fontId="8" fillId="0" borderId="2" xfId="0" applyNumberFormat="1" applyFont="1" applyBorder="1"/>
    <xf numFmtId="14" fontId="19" fillId="0" borderId="0" xfId="0" applyNumberFormat="1" applyFont="1"/>
    <xf numFmtId="189" fontId="8" fillId="26" borderId="4" xfId="0" applyNumberFormat="1" applyFont="1" applyFill="1" applyBorder="1" applyAlignment="1">
      <alignment horizontal="right"/>
    </xf>
    <xf numFmtId="176" fontId="8" fillId="26" borderId="4" xfId="0" applyNumberFormat="1" applyFont="1" applyFill="1" applyBorder="1"/>
    <xf numFmtId="0" fontId="19" fillId="0" borderId="147" xfId="0" applyFont="1" applyBorder="1" applyAlignment="1">
      <alignment vertical="center"/>
    </xf>
    <xf numFmtId="189" fontId="8" fillId="5" borderId="148" xfId="0" applyNumberFormat="1" applyFont="1" applyFill="1" applyBorder="1"/>
    <xf numFmtId="189" fontId="40" fillId="18" borderId="148" xfId="0" applyNumberFormat="1" applyFont="1" applyFill="1" applyBorder="1"/>
    <xf numFmtId="189" fontId="8" fillId="18" borderId="149" xfId="0" applyNumberFormat="1" applyFont="1" applyFill="1" applyBorder="1"/>
    <xf numFmtId="0" fontId="84" fillId="8" borderId="0" xfId="7" applyFont="1" applyFill="1" applyAlignment="1">
      <alignment horizontal="center" vertical="center" wrapText="1"/>
    </xf>
    <xf numFmtId="0" fontId="83" fillId="8" borderId="0" xfId="0" applyFont="1" applyFill="1"/>
    <xf numFmtId="0" fontId="40" fillId="8" borderId="0" xfId="0" applyFont="1" applyFill="1"/>
    <xf numFmtId="0" fontId="19" fillId="0" borderId="150" xfId="0" applyFont="1" applyBorder="1"/>
    <xf numFmtId="189" fontId="8" fillId="5" borderId="151" xfId="0" applyNumberFormat="1" applyFont="1" applyFill="1" applyBorder="1"/>
    <xf numFmtId="189" fontId="8" fillId="18" borderId="151" xfId="0" applyNumberFormat="1" applyFont="1" applyFill="1" applyBorder="1"/>
    <xf numFmtId="189" fontId="8" fillId="18" borderId="152" xfId="0" applyNumberFormat="1" applyFont="1" applyFill="1" applyBorder="1"/>
    <xf numFmtId="0" fontId="19" fillId="0" borderId="153" xfId="0" applyFont="1" applyBorder="1"/>
    <xf numFmtId="189" fontId="8" fillId="5" borderId="154" xfId="0" applyNumberFormat="1" applyFont="1" applyFill="1" applyBorder="1"/>
    <xf numFmtId="189" fontId="8" fillId="18" borderId="154" xfId="0" applyNumberFormat="1" applyFont="1" applyFill="1" applyBorder="1"/>
    <xf numFmtId="189" fontId="8" fillId="18" borderId="155" xfId="0" applyNumberFormat="1" applyFont="1" applyFill="1" applyBorder="1"/>
    <xf numFmtId="0" fontId="12" fillId="7" borderId="4" xfId="7" applyFont="1" applyFill="1" applyBorder="1">
      <alignment vertical="center"/>
    </xf>
    <xf numFmtId="0" fontId="19" fillId="7" borderId="4" xfId="7" applyFont="1" applyFill="1" applyBorder="1">
      <alignment vertical="center"/>
    </xf>
    <xf numFmtId="0" fontId="87" fillId="0" borderId="4" xfId="7" applyFont="1" applyBorder="1" applyAlignment="1">
      <alignment horizontal="center" vertical="center"/>
    </xf>
    <xf numFmtId="0" fontId="87" fillId="0" borderId="4" xfId="7" quotePrefix="1" applyFont="1" applyBorder="1" applyAlignment="1">
      <alignment horizontal="center" vertical="center"/>
    </xf>
    <xf numFmtId="0" fontId="87" fillId="0" borderId="0" xfId="7" quotePrefix="1" applyFont="1" applyAlignment="1">
      <alignment horizontal="center" vertical="center"/>
    </xf>
    <xf numFmtId="0" fontId="89" fillId="0" borderId="25" xfId="7" applyFont="1" applyBorder="1" applyAlignment="1">
      <alignment horizontal="center" vertical="center"/>
    </xf>
    <xf numFmtId="0" fontId="87" fillId="0" borderId="0" xfId="7" applyFont="1" applyAlignment="1">
      <alignment horizontal="center" vertical="center"/>
    </xf>
    <xf numFmtId="0" fontId="86" fillId="0" borderId="4" xfId="0" applyFont="1" applyBorder="1" applyAlignment="1">
      <alignment horizontal="center"/>
    </xf>
    <xf numFmtId="0" fontId="86" fillId="4" borderId="4" xfId="0" applyFont="1" applyFill="1" applyBorder="1" applyAlignment="1">
      <alignment horizontal="center"/>
    </xf>
    <xf numFmtId="0" fontId="25" fillId="0" borderId="22" xfId="0" applyFont="1" applyBorder="1"/>
    <xf numFmtId="185" fontId="8" fillId="5" borderId="54" xfId="0" applyNumberFormat="1" applyFont="1" applyFill="1" applyBorder="1" applyAlignment="1">
      <alignment horizontal="right"/>
    </xf>
    <xf numFmtId="185" fontId="8" fillId="18" borderId="25" xfId="0" applyNumberFormat="1" applyFont="1" applyFill="1" applyBorder="1"/>
    <xf numFmtId="185" fontId="8" fillId="5" borderId="25" xfId="0" applyNumberFormat="1" applyFont="1" applyFill="1" applyBorder="1" applyAlignment="1">
      <alignment horizontal="right"/>
    </xf>
    <xf numFmtId="185" fontId="8" fillId="18" borderId="25" xfId="0" applyNumberFormat="1" applyFont="1" applyFill="1" applyBorder="1" applyAlignment="1">
      <alignment horizontal="right"/>
    </xf>
    <xf numFmtId="185" fontId="8" fillId="5" borderId="45" xfId="0" applyNumberFormat="1" applyFont="1" applyFill="1" applyBorder="1" applyAlignment="1">
      <alignment horizontal="right"/>
    </xf>
    <xf numFmtId="185" fontId="8" fillId="7" borderId="19" xfId="0" applyNumberFormat="1" applyFont="1" applyFill="1" applyBorder="1" applyAlignment="1">
      <alignment horizontal="right"/>
    </xf>
    <xf numFmtId="185" fontId="8" fillId="7" borderId="45" xfId="0" applyNumberFormat="1" applyFont="1" applyFill="1" applyBorder="1"/>
    <xf numFmtId="0" fontId="87" fillId="7" borderId="25" xfId="7" applyFont="1" applyFill="1" applyBorder="1" applyAlignment="1">
      <alignment horizontal="center" vertical="center"/>
    </xf>
    <xf numFmtId="0" fontId="86" fillId="7" borderId="25" xfId="7" applyFont="1" applyFill="1" applyBorder="1" applyAlignment="1">
      <alignment horizontal="center" vertical="center"/>
    </xf>
    <xf numFmtId="0" fontId="88" fillId="0" borderId="25" xfId="7" applyFont="1" applyBorder="1">
      <alignment vertical="center"/>
    </xf>
    <xf numFmtId="2" fontId="88" fillId="0" borderId="25" xfId="7" applyNumberFormat="1" applyFont="1" applyBorder="1">
      <alignment vertical="center"/>
    </xf>
    <xf numFmtId="1" fontId="88" fillId="0" borderId="25" xfId="7" applyNumberFormat="1" applyFont="1" applyBorder="1">
      <alignment vertical="center"/>
    </xf>
    <xf numFmtId="0" fontId="88" fillId="0" borderId="25" xfId="8" applyNumberFormat="1" applyFont="1" applyBorder="1">
      <alignment vertical="center"/>
    </xf>
    <xf numFmtId="189" fontId="88" fillId="0" borderId="25" xfId="8" applyNumberFormat="1" applyFont="1" applyBorder="1">
      <alignment vertical="center"/>
    </xf>
    <xf numFmtId="192" fontId="88" fillId="0" borderId="25" xfId="7" applyNumberFormat="1" applyFont="1" applyBorder="1">
      <alignment vertical="center"/>
    </xf>
    <xf numFmtId="189" fontId="88" fillId="0" borderId="25" xfId="7" applyNumberFormat="1" applyFont="1" applyBorder="1">
      <alignment vertical="center"/>
    </xf>
    <xf numFmtId="38" fontId="88" fillId="0" borderId="25" xfId="1" applyFont="1" applyBorder="1">
      <alignment vertical="center"/>
    </xf>
    <xf numFmtId="38" fontId="88" fillId="0" borderId="6" xfId="1" applyFont="1" applyBorder="1">
      <alignment vertical="center"/>
    </xf>
    <xf numFmtId="0" fontId="90" fillId="0" borderId="25" xfId="0" applyFont="1" applyBorder="1"/>
    <xf numFmtId="2" fontId="90" fillId="0" borderId="25" xfId="0" applyNumberFormat="1" applyFont="1" applyBorder="1"/>
    <xf numFmtId="0" fontId="85" fillId="0" borderId="25" xfId="0" applyFont="1" applyBorder="1"/>
    <xf numFmtId="1" fontId="90" fillId="19" borderId="25" xfId="0" applyNumberFormat="1" applyFont="1" applyFill="1" applyBorder="1"/>
    <xf numFmtId="1" fontId="90" fillId="0" borderId="25" xfId="0" applyNumberFormat="1" applyFont="1" applyBorder="1"/>
    <xf numFmtId="176" fontId="90" fillId="19" borderId="25" xfId="0" applyNumberFormat="1" applyFont="1" applyFill="1" applyBorder="1"/>
    <xf numFmtId="180" fontId="90" fillId="0" borderId="25" xfId="0" applyNumberFormat="1" applyFont="1" applyBorder="1"/>
    <xf numFmtId="1" fontId="90" fillId="4" borderId="25" xfId="0" applyNumberFormat="1" applyFont="1" applyFill="1" applyBorder="1"/>
    <xf numFmtId="192" fontId="90" fillId="4" borderId="25" xfId="0" applyNumberFormat="1" applyFont="1" applyFill="1" applyBorder="1"/>
    <xf numFmtId="1" fontId="90" fillId="0" borderId="6" xfId="0" applyNumberFormat="1" applyFont="1" applyBorder="1"/>
    <xf numFmtId="0" fontId="43" fillId="0" borderId="32" xfId="0" applyFont="1" applyBorder="1" applyAlignment="1">
      <alignment horizontal="left"/>
    </xf>
    <xf numFmtId="0" fontId="43" fillId="0" borderId="22" xfId="0" applyFont="1" applyBorder="1"/>
    <xf numFmtId="0" fontId="43" fillId="0" borderId="12" xfId="0" applyFont="1" applyBorder="1"/>
    <xf numFmtId="0" fontId="102" fillId="0" borderId="2" xfId="0" applyFont="1" applyBorder="1"/>
    <xf numFmtId="0" fontId="102" fillId="0" borderId="0" xfId="0" applyFont="1"/>
    <xf numFmtId="0" fontId="102" fillId="0" borderId="0" xfId="0" applyFont="1" applyAlignment="1">
      <alignment horizontal="center"/>
    </xf>
    <xf numFmtId="0" fontId="103" fillId="0" borderId="0" xfId="0" applyFont="1"/>
    <xf numFmtId="0" fontId="76" fillId="0" borderId="0" xfId="0" applyFont="1"/>
    <xf numFmtId="14" fontId="102" fillId="0" borderId="0" xfId="0" applyNumberFormat="1" applyFont="1"/>
    <xf numFmtId="0" fontId="44" fillId="0" borderId="2" xfId="0" applyFont="1" applyBorder="1"/>
    <xf numFmtId="186" fontId="16" fillId="5" borderId="4" xfId="0" applyNumberFormat="1" applyFont="1" applyFill="1" applyBorder="1" applyAlignment="1">
      <alignment horizontal="right"/>
    </xf>
    <xf numFmtId="186" fontId="16" fillId="18" borderId="4" xfId="0" applyNumberFormat="1" applyFont="1" applyFill="1" applyBorder="1"/>
    <xf numFmtId="0" fontId="19" fillId="19" borderId="100" xfId="7" applyFont="1" applyFill="1" applyBorder="1">
      <alignment vertical="center"/>
    </xf>
    <xf numFmtId="0" fontId="104" fillId="0" borderId="0" xfId="0" applyFont="1"/>
    <xf numFmtId="186" fontId="8" fillId="7" borderId="100" xfId="0" applyNumberFormat="1" applyFont="1" applyFill="1" applyBorder="1" applyAlignment="1">
      <alignment horizontal="right"/>
    </xf>
    <xf numFmtId="186" fontId="8" fillId="7" borderId="59" xfId="0" applyNumberFormat="1" applyFont="1" applyFill="1" applyBorder="1" applyAlignment="1">
      <alignment horizontal="right"/>
    </xf>
    <xf numFmtId="1" fontId="11" fillId="7" borderId="21" xfId="0" applyNumberFormat="1" applyFont="1" applyFill="1" applyBorder="1" applyAlignment="1">
      <alignment horizontal="right"/>
    </xf>
    <xf numFmtId="0" fontId="19" fillId="0" borderId="17" xfId="0" applyFont="1" applyBorder="1" applyAlignment="1">
      <alignment horizontal="left" vertical="center"/>
    </xf>
    <xf numFmtId="0" fontId="19" fillId="0" borderId="6" xfId="0" applyFont="1" applyBorder="1" applyAlignment="1">
      <alignment horizontal="left" vertical="center"/>
    </xf>
    <xf numFmtId="0" fontId="12" fillId="0" borderId="2" xfId="0" applyFont="1" applyBorder="1" applyAlignment="1">
      <alignment horizontal="center" vertical="center" wrapText="1"/>
    </xf>
    <xf numFmtId="0" fontId="20" fillId="0" borderId="0" xfId="0" applyFont="1" applyAlignment="1">
      <alignment vertical="center"/>
    </xf>
    <xf numFmtId="0" fontId="8" fillId="0" borderId="6" xfId="0" applyFont="1" applyBorder="1" applyAlignment="1">
      <alignment vertical="center"/>
    </xf>
    <xf numFmtId="0" fontId="8" fillId="0" borderId="6" xfId="0" applyFont="1" applyBorder="1" applyAlignment="1">
      <alignment horizontal="center" vertical="center"/>
    </xf>
    <xf numFmtId="0" fontId="25" fillId="0" borderId="0" xfId="0" applyFont="1" applyAlignment="1">
      <alignment horizontal="right" vertical="center"/>
    </xf>
    <xf numFmtId="0" fontId="13" fillId="0" borderId="43" xfId="0" applyFont="1" applyBorder="1" applyAlignment="1">
      <alignment horizontal="center" vertical="center"/>
    </xf>
    <xf numFmtId="0" fontId="25" fillId="0" borderId="27" xfId="0" applyFont="1" applyBorder="1" applyAlignment="1">
      <alignment horizontal="right" vertical="center"/>
    </xf>
    <xf numFmtId="0" fontId="13" fillId="0" borderId="0" xfId="0" applyFont="1" applyAlignment="1">
      <alignment horizontal="center" vertical="center"/>
    </xf>
    <xf numFmtId="0" fontId="8" fillId="0" borderId="19" xfId="0" applyFont="1" applyBorder="1" applyAlignment="1">
      <alignment horizontal="center" vertical="center"/>
    </xf>
    <xf numFmtId="0" fontId="13" fillId="0" borderId="19" xfId="0" applyFont="1" applyBorder="1" applyAlignment="1">
      <alignment horizontal="right" vertical="center"/>
    </xf>
    <xf numFmtId="0" fontId="13" fillId="0" borderId="19" xfId="0" applyFont="1" applyBorder="1" applyAlignment="1">
      <alignment vertical="center"/>
    </xf>
    <xf numFmtId="0" fontId="12" fillId="0" borderId="19" xfId="0" applyFont="1" applyBorder="1" applyAlignment="1">
      <alignment vertical="center"/>
    </xf>
    <xf numFmtId="0" fontId="12" fillId="0" borderId="25" xfId="0" applyFont="1" applyBorder="1" applyAlignment="1">
      <alignment vertical="center" wrapText="1"/>
    </xf>
    <xf numFmtId="0" fontId="12" fillId="0" borderId="0" xfId="0" applyFont="1" applyAlignment="1">
      <alignment horizontal="left" vertical="center"/>
    </xf>
    <xf numFmtId="0" fontId="12" fillId="0" borderId="19" xfId="0" applyFont="1" applyBorder="1" applyAlignment="1">
      <alignment horizontal="left" vertical="center"/>
    </xf>
    <xf numFmtId="0" fontId="12" fillId="0" borderId="25" xfId="0" applyFont="1" applyBorder="1" applyAlignment="1">
      <alignment horizontal="left" vertical="center"/>
    </xf>
    <xf numFmtId="0" fontId="13" fillId="0" borderId="6" xfId="0" applyFont="1" applyBorder="1" applyAlignment="1">
      <alignment horizontal="left" vertical="center"/>
    </xf>
    <xf numFmtId="186" fontId="9" fillId="0" borderId="6" xfId="0" applyNumberFormat="1" applyFont="1" applyBorder="1" applyAlignment="1">
      <alignment vertical="top"/>
    </xf>
    <xf numFmtId="186" fontId="9" fillId="0" borderId="23" xfId="0" applyNumberFormat="1" applyFont="1" applyBorder="1" applyAlignment="1">
      <alignment vertical="top"/>
    </xf>
    <xf numFmtId="38" fontId="8" fillId="0" borderId="0" xfId="0" applyNumberFormat="1" applyFont="1" applyAlignment="1">
      <alignment horizontal="center" vertical="center"/>
    </xf>
    <xf numFmtId="0" fontId="12" fillId="0" borderId="0" xfId="0" applyFont="1" applyAlignment="1">
      <alignment vertical="center"/>
    </xf>
    <xf numFmtId="0" fontId="12" fillId="0" borderId="16" xfId="0" applyFont="1" applyBorder="1" applyAlignment="1">
      <alignment vertical="center"/>
    </xf>
    <xf numFmtId="0" fontId="28" fillId="0" borderId="0" xfId="0" applyFont="1" applyAlignment="1">
      <alignment horizontal="center" vertical="center"/>
    </xf>
    <xf numFmtId="0" fontId="19" fillId="0" borderId="0" xfId="0" applyFont="1" applyAlignment="1">
      <alignment horizontal="center" vertical="center"/>
    </xf>
    <xf numFmtId="0" fontId="12" fillId="0" borderId="16" xfId="0" applyFont="1" applyBorder="1" applyAlignment="1">
      <alignment horizontal="left" vertical="center"/>
    </xf>
    <xf numFmtId="0" fontId="8" fillId="0" borderId="27" xfId="0" applyFont="1" applyBorder="1" applyAlignment="1">
      <alignment horizontal="center" vertical="center"/>
    </xf>
    <xf numFmtId="0" fontId="12" fillId="0" borderId="19" xfId="0" applyFont="1" applyBorder="1" applyAlignment="1">
      <alignment horizontal="center" vertical="center"/>
    </xf>
    <xf numFmtId="0" fontId="8" fillId="0" borderId="24" xfId="0" applyFont="1" applyBorder="1" applyAlignment="1">
      <alignment horizontal="right"/>
    </xf>
    <xf numFmtId="0" fontId="8" fillId="7" borderId="2" xfId="0" applyFont="1" applyFill="1" applyBorder="1" applyAlignment="1">
      <alignment horizontal="center" vertical="center"/>
    </xf>
    <xf numFmtId="0" fontId="19" fillId="0" borderId="4" xfId="0" applyFont="1" applyBorder="1" applyAlignment="1">
      <alignment horizontal="left"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176" fontId="9" fillId="0" borderId="6" xfId="0" applyNumberFormat="1" applyFont="1" applyBorder="1" applyAlignment="1">
      <alignment vertical="top"/>
    </xf>
    <xf numFmtId="176" fontId="9" fillId="0" borderId="23" xfId="0" applyNumberFormat="1" applyFont="1" applyBorder="1" applyAlignment="1">
      <alignment vertical="top"/>
    </xf>
    <xf numFmtId="180" fontId="8" fillId="0" borderId="0" xfId="0" applyNumberFormat="1" applyFont="1" applyAlignment="1">
      <alignment horizontal="center" vertical="center"/>
    </xf>
    <xf numFmtId="0" fontId="12" fillId="0" borderId="18" xfId="0" applyFont="1" applyBorder="1" applyAlignment="1">
      <alignment vertical="center"/>
    </xf>
    <xf numFmtId="0" fontId="12" fillId="0" borderId="25" xfId="0" applyFont="1" applyBorder="1" applyAlignment="1">
      <alignment vertical="center"/>
    </xf>
    <xf numFmtId="0" fontId="8" fillId="3" borderId="2" xfId="0" applyFont="1" applyFill="1" applyBorder="1" applyAlignment="1">
      <alignment horizontal="center" vertical="center"/>
    </xf>
    <xf numFmtId="0" fontId="13" fillId="7" borderId="52" xfId="0" applyFont="1" applyFill="1" applyBorder="1" applyAlignment="1">
      <alignment horizontal="center" vertical="center"/>
    </xf>
    <xf numFmtId="0" fontId="13" fillId="7" borderId="42"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8" xfId="0" applyFont="1" applyFill="1" applyBorder="1" applyAlignment="1">
      <alignment horizontal="center" vertical="center"/>
    </xf>
    <xf numFmtId="0" fontId="8" fillId="26" borderId="0" xfId="0" applyFont="1" applyFill="1" applyAlignment="1">
      <alignment horizontal="center" vertical="center"/>
    </xf>
    <xf numFmtId="0" fontId="29" fillId="0" borderId="0" xfId="0" applyFont="1" applyAlignment="1">
      <alignment horizontal="center" vertical="center"/>
    </xf>
    <xf numFmtId="176" fontId="9" fillId="0" borderId="0" xfId="0" applyNumberFormat="1" applyFont="1" applyAlignment="1">
      <alignment horizontal="right" vertical="center"/>
    </xf>
    <xf numFmtId="189" fontId="8" fillId="0" borderId="0" xfId="0" applyNumberFormat="1" applyFont="1" applyAlignment="1">
      <alignment horizontal="center" vertical="center"/>
    </xf>
    <xf numFmtId="0" fontId="19" fillId="0" borderId="83" xfId="0" applyFont="1" applyBorder="1" applyAlignment="1">
      <alignment vertical="center"/>
    </xf>
    <xf numFmtId="0" fontId="19" fillId="0" borderId="84" xfId="0" applyFont="1" applyBorder="1" applyAlignment="1">
      <alignment vertical="center"/>
    </xf>
    <xf numFmtId="0" fontId="19" fillId="0" borderId="85" xfId="0" applyFont="1" applyBorder="1" applyAlignment="1">
      <alignment vertical="center"/>
    </xf>
    <xf numFmtId="0" fontId="19" fillId="0" borderId="18" xfId="0" applyFont="1" applyBorder="1" applyAlignment="1">
      <alignment vertical="center"/>
    </xf>
    <xf numFmtId="0" fontId="19" fillId="0" borderId="24" xfId="0" applyFont="1" applyBorder="1" applyAlignment="1">
      <alignment vertical="center"/>
    </xf>
    <xf numFmtId="0" fontId="9" fillId="0" borderId="6" xfId="0" applyFont="1" applyBorder="1" applyAlignment="1">
      <alignment vertical="center"/>
    </xf>
    <xf numFmtId="0" fontId="9" fillId="0" borderId="23" xfId="0" applyFont="1" applyBorder="1" applyAlignment="1">
      <alignment vertical="center"/>
    </xf>
    <xf numFmtId="56" fontId="25" fillId="0" borderId="0" xfId="0" applyNumberFormat="1" applyFont="1" applyAlignment="1">
      <alignment horizontal="right" vertical="center"/>
    </xf>
    <xf numFmtId="0" fontId="13" fillId="0" borderId="0" xfId="0" applyFont="1" applyAlignment="1">
      <alignment vertical="center" wrapText="1"/>
    </xf>
    <xf numFmtId="0" fontId="25" fillId="0" borderId="0" xfId="0" applyFont="1" applyAlignment="1">
      <alignment vertical="center"/>
    </xf>
    <xf numFmtId="0" fontId="8" fillId="0" borderId="27" xfId="0" applyFont="1" applyBorder="1" applyAlignment="1">
      <alignment horizontal="right" vertical="center"/>
    </xf>
    <xf numFmtId="0" fontId="8" fillId="0" borderId="18" xfId="0" applyFont="1" applyBorder="1" applyAlignment="1">
      <alignment horizontal="center" vertical="center"/>
    </xf>
    <xf numFmtId="0" fontId="76" fillId="0" borderId="0" xfId="0" applyFont="1" applyAlignment="1">
      <alignment horizontal="center" vertical="center"/>
    </xf>
    <xf numFmtId="0" fontId="34" fillId="0" borderId="0" xfId="0" applyFont="1" applyAlignment="1">
      <alignment horizontal="left" vertical="center"/>
    </xf>
    <xf numFmtId="0" fontId="0" fillId="0" borderId="0" xfId="0" applyAlignment="1">
      <alignment vertical="center"/>
    </xf>
    <xf numFmtId="0" fontId="42" fillId="0" borderId="0" xfId="0" applyFont="1" applyAlignment="1">
      <alignment horizontal="left" vertical="center"/>
    </xf>
    <xf numFmtId="0" fontId="13" fillId="0" borderId="18" xfId="0" applyFont="1" applyBorder="1" applyAlignment="1">
      <alignment horizontal="left" vertical="center"/>
    </xf>
    <xf numFmtId="0" fontId="8" fillId="7" borderId="8" xfId="0" applyFont="1" applyFill="1" applyBorder="1" applyAlignment="1">
      <alignment vertical="center"/>
    </xf>
    <xf numFmtId="0" fontId="31" fillId="0" borderId="19" xfId="0" applyFont="1" applyBorder="1" applyAlignment="1">
      <alignment horizontal="center" vertical="center"/>
    </xf>
    <xf numFmtId="0" fontId="8" fillId="0" borderId="54" xfId="0" applyFont="1" applyBorder="1" applyAlignment="1">
      <alignment horizontal="center" vertical="center"/>
    </xf>
    <xf numFmtId="0" fontId="19" fillId="0" borderId="2" xfId="0" applyFont="1" applyBorder="1" applyAlignment="1">
      <alignment horizontal="center" vertical="center"/>
    </xf>
    <xf numFmtId="0" fontId="12" fillId="0" borderId="28" xfId="0" applyFont="1" applyBorder="1" applyAlignment="1">
      <alignment horizontal="center" vertical="center"/>
    </xf>
    <xf numFmtId="0" fontId="31" fillId="0" borderId="25" xfId="0" applyFont="1" applyBorder="1" applyAlignment="1">
      <alignment horizontal="center" vertical="center"/>
    </xf>
    <xf numFmtId="189" fontId="19" fillId="0" borderId="0" xfId="0" applyNumberFormat="1" applyFont="1" applyAlignment="1">
      <alignment horizontal="left" vertical="center"/>
    </xf>
    <xf numFmtId="0" fontId="81" fillId="0" borderId="2" xfId="0" applyFont="1" applyBorder="1" applyAlignment="1">
      <alignment horizontal="center" vertical="center"/>
    </xf>
    <xf numFmtId="190" fontId="17" fillId="11" borderId="2" xfId="0" applyNumberFormat="1" applyFont="1" applyFill="1" applyBorder="1" applyAlignment="1">
      <alignment horizontal="center" vertical="center"/>
    </xf>
    <xf numFmtId="0" fontId="8" fillId="9" borderId="104" xfId="0" applyFont="1" applyFill="1" applyBorder="1" applyAlignment="1" applyProtection="1">
      <alignment horizontal="center" vertical="center"/>
      <protection locked="0"/>
    </xf>
    <xf numFmtId="0" fontId="8" fillId="9" borderId="105" xfId="0" applyFont="1" applyFill="1" applyBorder="1" applyAlignment="1" applyProtection="1">
      <alignment horizontal="center" vertical="center"/>
      <protection locked="0"/>
    </xf>
    <xf numFmtId="0" fontId="25" fillId="0" borderId="27" xfId="0" applyFont="1" applyBorder="1" applyAlignment="1">
      <alignment horizontal="right" vertical="center"/>
    </xf>
    <xf numFmtId="0" fontId="13" fillId="0" borderId="0" xfId="0" applyFont="1" applyAlignment="1">
      <alignment horizontal="left" vertical="center" wrapText="1"/>
    </xf>
    <xf numFmtId="0" fontId="17" fillId="9" borderId="4" xfId="0" applyFont="1" applyFill="1" applyBorder="1" applyAlignment="1" applyProtection="1">
      <alignment horizontal="center" vertical="center"/>
      <protection locked="0"/>
    </xf>
    <xf numFmtId="0" fontId="17" fillId="9" borderId="28" xfId="0" applyFont="1" applyFill="1" applyBorder="1" applyAlignment="1" applyProtection="1">
      <alignment horizontal="center" vertical="center"/>
      <protection locked="0"/>
    </xf>
    <xf numFmtId="0" fontId="8" fillId="9" borderId="37" xfId="0" applyFont="1" applyFill="1" applyBorder="1" applyAlignment="1" applyProtection="1">
      <alignment horizontal="center" vertical="center"/>
      <protection locked="0"/>
    </xf>
    <xf numFmtId="0" fontId="8" fillId="9" borderId="35" xfId="0" applyFont="1" applyFill="1" applyBorder="1" applyAlignment="1" applyProtection="1">
      <alignment horizontal="center" vertical="center"/>
      <protection locked="0"/>
    </xf>
    <xf numFmtId="0" fontId="8" fillId="9" borderId="118" xfId="0" applyFont="1" applyFill="1" applyBorder="1" applyAlignment="1" applyProtection="1">
      <alignment horizontal="center" vertical="center"/>
      <protection locked="0"/>
    </xf>
    <xf numFmtId="0" fontId="8" fillId="9" borderId="119" xfId="0" applyFont="1" applyFill="1" applyBorder="1" applyAlignment="1" applyProtection="1">
      <alignment horizontal="center" vertical="center"/>
      <protection locked="0"/>
    </xf>
    <xf numFmtId="0" fontId="8" fillId="0" borderId="19" xfId="0" applyFont="1" applyBorder="1" applyAlignment="1">
      <alignment horizontal="right"/>
    </xf>
    <xf numFmtId="193" fontId="17" fillId="11" borderId="2" xfId="0" applyNumberFormat="1" applyFont="1" applyFill="1" applyBorder="1" applyAlignment="1">
      <alignment horizontal="center" vertical="center"/>
    </xf>
    <xf numFmtId="0" fontId="8" fillId="7" borderId="7" xfId="0" applyFont="1" applyFill="1" applyBorder="1" applyAlignment="1">
      <alignment horizontal="center" vertical="center"/>
    </xf>
    <xf numFmtId="0" fontId="8" fillId="7" borderId="26" xfId="0" applyFont="1" applyFill="1" applyBorder="1" applyAlignment="1">
      <alignment horizontal="center" vertical="center"/>
    </xf>
    <xf numFmtId="0" fontId="8" fillId="7" borderId="8" xfId="0" applyFont="1" applyFill="1" applyBorder="1" applyAlignment="1">
      <alignment horizontal="center" vertical="center"/>
    </xf>
    <xf numFmtId="0" fontId="8" fillId="9" borderId="22" xfId="0" applyFont="1" applyFill="1" applyBorder="1" applyAlignment="1" applyProtection="1">
      <alignment horizontal="center" vertical="center"/>
      <protection locked="0"/>
    </xf>
    <xf numFmtId="0" fontId="8" fillId="9" borderId="43" xfId="0" applyFont="1" applyFill="1" applyBorder="1" applyAlignment="1" applyProtection="1">
      <alignment horizontal="center" vertical="center"/>
      <protection locked="0"/>
    </xf>
    <xf numFmtId="0" fontId="8" fillId="9" borderId="47" xfId="0" applyFont="1" applyFill="1" applyBorder="1" applyAlignment="1" applyProtection="1">
      <alignment horizontal="center" vertical="center"/>
      <protection locked="0"/>
    </xf>
    <xf numFmtId="0" fontId="8" fillId="9" borderId="46" xfId="0" applyFont="1" applyFill="1" applyBorder="1" applyAlignment="1" applyProtection="1">
      <alignment horizontal="center" vertical="center"/>
      <protection locked="0"/>
    </xf>
    <xf numFmtId="0" fontId="8" fillId="9" borderId="16" xfId="0" applyFont="1" applyFill="1" applyBorder="1" applyAlignment="1" applyProtection="1">
      <alignment horizontal="center" vertical="center"/>
      <protection locked="0"/>
    </xf>
    <xf numFmtId="0" fontId="8" fillId="9" borderId="39" xfId="0" applyFont="1" applyFill="1" applyBorder="1" applyAlignment="1" applyProtection="1">
      <alignment horizontal="center" vertical="center"/>
      <protection locked="0"/>
    </xf>
    <xf numFmtId="0" fontId="12" fillId="0" borderId="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8" xfId="0" applyFont="1" applyBorder="1" applyAlignment="1">
      <alignment horizontal="center" vertical="center" wrapText="1"/>
    </xf>
    <xf numFmtId="0" fontId="8" fillId="9" borderId="49" xfId="0" applyFont="1" applyFill="1" applyBorder="1" applyAlignment="1" applyProtection="1">
      <alignment horizontal="center" vertical="center"/>
      <protection locked="0"/>
    </xf>
    <xf numFmtId="0" fontId="8" fillId="9" borderId="38" xfId="0" applyFont="1" applyFill="1" applyBorder="1" applyAlignment="1" applyProtection="1">
      <alignment horizontal="center" vertical="center"/>
      <protection locked="0"/>
    </xf>
    <xf numFmtId="0" fontId="8" fillId="9" borderId="36" xfId="0" applyFont="1" applyFill="1" applyBorder="1" applyAlignment="1" applyProtection="1">
      <alignment horizontal="center" vertical="center"/>
      <protection locked="0"/>
    </xf>
    <xf numFmtId="0" fontId="8" fillId="9" borderId="48" xfId="0" applyFont="1" applyFill="1" applyBorder="1" applyAlignment="1" applyProtection="1">
      <alignment horizontal="center" vertical="center"/>
      <protection locked="0"/>
    </xf>
    <xf numFmtId="0" fontId="8" fillId="9" borderId="41"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0" fontId="8" fillId="9" borderId="73" xfId="0" applyFont="1" applyFill="1" applyBorder="1" applyAlignment="1" applyProtection="1">
      <alignment horizontal="center" vertical="center"/>
      <protection locked="0"/>
    </xf>
    <xf numFmtId="0" fontId="8" fillId="9" borderId="141" xfId="0" applyFont="1" applyFill="1" applyBorder="1" applyAlignment="1" applyProtection="1">
      <alignment horizontal="center" vertical="center"/>
      <protection locked="0"/>
    </xf>
    <xf numFmtId="0" fontId="8" fillId="9" borderId="63" xfId="0" applyFont="1" applyFill="1" applyBorder="1" applyAlignment="1" applyProtection="1">
      <alignment horizontal="center" vertical="center"/>
      <protection locked="0"/>
    </xf>
    <xf numFmtId="0" fontId="8" fillId="9" borderId="64" xfId="0" applyFont="1" applyFill="1" applyBorder="1" applyAlignment="1" applyProtection="1">
      <alignment horizontal="center" vertical="center"/>
      <protection locked="0"/>
    </xf>
    <xf numFmtId="0" fontId="8" fillId="9" borderId="115" xfId="0" applyFont="1" applyFill="1" applyBorder="1" applyAlignment="1" applyProtection="1">
      <alignment horizontal="center" vertical="center"/>
      <protection locked="0"/>
    </xf>
    <xf numFmtId="0" fontId="8" fillId="9" borderId="116" xfId="0" applyFont="1" applyFill="1" applyBorder="1" applyAlignment="1" applyProtection="1">
      <alignment horizontal="center" vertical="center"/>
      <protection locked="0"/>
    </xf>
    <xf numFmtId="38" fontId="17" fillId="11" borderId="2" xfId="1" applyFont="1" applyFill="1" applyBorder="1" applyAlignment="1" applyProtection="1">
      <alignment horizontal="center" vertical="center"/>
    </xf>
    <xf numFmtId="190" fontId="8" fillId="11" borderId="2" xfId="0" applyNumberFormat="1" applyFont="1" applyFill="1" applyBorder="1" applyAlignment="1">
      <alignment horizontal="center" vertical="center"/>
    </xf>
    <xf numFmtId="183" fontId="17" fillId="11" borderId="2" xfId="0" applyNumberFormat="1"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19" fillId="0" borderId="17" xfId="0" applyFont="1" applyBorder="1" applyAlignment="1">
      <alignment horizontal="left" vertical="center"/>
    </xf>
    <xf numFmtId="0" fontId="19" fillId="0" borderId="6" xfId="0" applyFont="1" applyBorder="1" applyAlignment="1">
      <alignment horizontal="left" vertical="center"/>
    </xf>
    <xf numFmtId="0" fontId="19" fillId="0" borderId="23"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4" xfId="0" applyFont="1" applyBorder="1" applyAlignment="1">
      <alignment horizontal="left"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7" fillId="10" borderId="17" xfId="0" applyFont="1" applyFill="1" applyBorder="1" applyAlignment="1" applyProtection="1">
      <alignment horizontal="center" vertical="center"/>
      <protection locked="0"/>
    </xf>
    <xf numFmtId="0" fontId="17" fillId="10" borderId="23" xfId="0" applyFont="1" applyFill="1" applyBorder="1" applyAlignment="1" applyProtection="1">
      <alignment horizontal="center" vertical="center"/>
      <protection locked="0"/>
    </xf>
    <xf numFmtId="0" fontId="17" fillId="10" borderId="18" xfId="0" applyFont="1" applyFill="1" applyBorder="1" applyAlignment="1" applyProtection="1">
      <alignment horizontal="center" vertical="center"/>
      <protection locked="0"/>
    </xf>
    <xf numFmtId="0" fontId="17" fillId="10" borderId="24" xfId="0" applyFont="1" applyFill="1" applyBorder="1" applyAlignment="1" applyProtection="1">
      <alignment horizontal="center" vertical="center"/>
      <protection locked="0"/>
    </xf>
    <xf numFmtId="0" fontId="8" fillId="9" borderId="61" xfId="0" applyFont="1" applyFill="1" applyBorder="1" applyAlignment="1" applyProtection="1">
      <alignment horizontal="center" vertical="center"/>
      <protection locked="0"/>
    </xf>
    <xf numFmtId="0" fontId="8" fillId="9" borderId="62" xfId="0" applyFont="1" applyFill="1" applyBorder="1" applyAlignment="1" applyProtection="1">
      <alignment horizontal="center" vertical="center"/>
      <protection locked="0"/>
    </xf>
    <xf numFmtId="0" fontId="8" fillId="9" borderId="65" xfId="0" applyFont="1" applyFill="1" applyBorder="1" applyAlignment="1" applyProtection="1">
      <alignment horizontal="center" vertical="center"/>
      <protection locked="0"/>
    </xf>
    <xf numFmtId="0" fontId="8" fillId="9" borderId="66" xfId="0" applyFont="1" applyFill="1" applyBorder="1" applyAlignment="1" applyProtection="1">
      <alignment horizontal="center" vertical="center"/>
      <protection locked="0"/>
    </xf>
    <xf numFmtId="0" fontId="8" fillId="9" borderId="139" xfId="0" applyFont="1" applyFill="1" applyBorder="1" applyAlignment="1" applyProtection="1">
      <alignment horizontal="center" vertical="center"/>
      <protection locked="0"/>
    </xf>
    <xf numFmtId="0" fontId="8" fillId="9" borderId="140"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3" xfId="0" applyFont="1" applyBorder="1" applyAlignment="1">
      <alignment horizontal="center" vertical="center"/>
    </xf>
    <xf numFmtId="0" fontId="8" fillId="9" borderId="40" xfId="0" applyFont="1" applyFill="1" applyBorder="1" applyAlignment="1" applyProtection="1">
      <alignment horizontal="center" vertical="center"/>
      <protection locked="0"/>
    </xf>
    <xf numFmtId="0" fontId="13" fillId="0" borderId="25" xfId="0" applyFont="1" applyBorder="1" applyAlignment="1">
      <alignment horizontal="left" vertical="center"/>
    </xf>
    <xf numFmtId="183" fontId="17" fillId="11" borderId="2" xfId="1" applyNumberFormat="1" applyFont="1" applyFill="1" applyBorder="1" applyAlignment="1" applyProtection="1">
      <alignment horizontal="center" vertical="center"/>
    </xf>
    <xf numFmtId="193" fontId="17" fillId="11" borderId="2" xfId="1" applyNumberFormat="1" applyFont="1" applyFill="1" applyBorder="1" applyAlignment="1" applyProtection="1">
      <alignment horizontal="center" vertical="center"/>
    </xf>
    <xf numFmtId="183" fontId="17" fillId="0" borderId="29" xfId="1" applyNumberFormat="1" applyFont="1" applyFill="1" applyBorder="1" applyAlignment="1" applyProtection="1">
      <alignment horizontal="center" vertical="center"/>
    </xf>
    <xf numFmtId="205" fontId="17" fillId="11" borderId="2" xfId="1" applyNumberFormat="1" applyFont="1" applyFill="1" applyBorder="1" applyAlignment="1" applyProtection="1">
      <alignment horizontal="center" vertical="center"/>
    </xf>
    <xf numFmtId="0" fontId="13" fillId="0" borderId="6" xfId="0" applyFont="1" applyBorder="1" applyAlignment="1">
      <alignment horizontal="left" vertical="center" wrapText="1"/>
    </xf>
    <xf numFmtId="0" fontId="17" fillId="10" borderId="4" xfId="0" applyFont="1" applyFill="1" applyBorder="1" applyAlignment="1" applyProtection="1">
      <alignment horizontal="center" vertical="center"/>
      <protection locked="0"/>
    </xf>
    <xf numFmtId="0" fontId="17" fillId="10" borderId="28" xfId="0" applyFont="1" applyFill="1" applyBorder="1" applyAlignment="1" applyProtection="1">
      <alignment horizontal="center" vertical="center"/>
      <protection locked="0"/>
    </xf>
    <xf numFmtId="0" fontId="8" fillId="7" borderId="2" xfId="0" applyFont="1" applyFill="1" applyBorder="1" applyAlignment="1">
      <alignment horizontal="center" vertical="center"/>
    </xf>
    <xf numFmtId="0" fontId="19" fillId="7" borderId="2" xfId="0" applyFont="1" applyFill="1" applyBorder="1" applyAlignment="1">
      <alignment horizontal="center" vertical="center"/>
    </xf>
    <xf numFmtId="204" fontId="17" fillId="11" borderId="2" xfId="1" applyNumberFormat="1" applyFont="1" applyFill="1" applyBorder="1" applyAlignment="1" applyProtection="1">
      <alignment horizontal="center" vertical="center"/>
    </xf>
    <xf numFmtId="0" fontId="19" fillId="7" borderId="3" xfId="7" applyFont="1" applyFill="1" applyBorder="1" applyAlignment="1">
      <alignment horizontal="center" vertical="center"/>
    </xf>
    <xf numFmtId="0" fontId="19" fillId="7" borderId="20" xfId="7" applyFont="1" applyFill="1" applyBorder="1" applyAlignment="1">
      <alignment horizontal="center" vertical="center"/>
    </xf>
    <xf numFmtId="0" fontId="19" fillId="5" borderId="87" xfId="7" applyFont="1" applyFill="1" applyBorder="1" applyAlignment="1">
      <alignment horizontal="center" vertical="center"/>
    </xf>
    <xf numFmtId="0" fontId="19" fillId="5" borderId="78" xfId="7" applyFont="1" applyFill="1" applyBorder="1" applyAlignment="1">
      <alignment horizontal="center" vertical="center"/>
    </xf>
    <xf numFmtId="0" fontId="19" fillId="5" borderId="56" xfId="7" applyFont="1" applyFill="1" applyBorder="1" applyAlignment="1">
      <alignment horizontal="center" vertical="center"/>
    </xf>
    <xf numFmtId="0" fontId="19" fillId="5" borderId="57" xfId="7" applyFont="1" applyFill="1" applyBorder="1" applyAlignment="1">
      <alignment horizontal="center" vertical="center"/>
    </xf>
    <xf numFmtId="0" fontId="64" fillId="7" borderId="4" xfId="7" applyFont="1" applyFill="1" applyBorder="1" applyAlignment="1">
      <alignment horizontal="left" vertical="center"/>
    </xf>
    <xf numFmtId="0" fontId="64" fillId="7" borderId="25" xfId="7" applyFont="1" applyFill="1" applyBorder="1" applyAlignment="1">
      <alignment horizontal="left" vertical="center"/>
    </xf>
    <xf numFmtId="0" fontId="64" fillId="7" borderId="28" xfId="7" applyFont="1" applyFill="1" applyBorder="1" applyAlignment="1">
      <alignment horizontal="left" vertical="center"/>
    </xf>
    <xf numFmtId="0" fontId="11" fillId="11" borderId="3" xfId="0" applyFont="1" applyFill="1" applyBorder="1" applyAlignment="1">
      <alignment horizontal="center"/>
    </xf>
    <xf numFmtId="0" fontId="11" fillId="11" borderId="13" xfId="0" applyFont="1" applyFill="1" applyBorder="1" applyAlignment="1">
      <alignment horizontal="center"/>
    </xf>
    <xf numFmtId="0" fontId="11" fillId="11" borderId="32" xfId="0" applyFont="1" applyFill="1" applyBorder="1" applyAlignment="1">
      <alignment horizontal="center"/>
    </xf>
    <xf numFmtId="0" fontId="16" fillId="5" borderId="113" xfId="7" applyFont="1" applyFill="1" applyBorder="1" applyAlignment="1">
      <alignment horizontal="center" vertical="center"/>
    </xf>
    <xf numFmtId="0" fontId="16" fillId="5" borderId="54" xfId="7"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2" xfId="0" applyFont="1" applyBorder="1" applyAlignment="1">
      <alignment horizontal="center" vertical="center" wrapText="1"/>
    </xf>
    <xf numFmtId="0" fontId="11" fillId="0" borderId="0" xfId="0" applyFont="1" applyAlignment="1">
      <alignment horizontal="center"/>
    </xf>
    <xf numFmtId="0" fontId="11" fillId="0" borderId="31" xfId="0" applyFont="1" applyBorder="1" applyAlignment="1">
      <alignment horizontal="center"/>
    </xf>
    <xf numFmtId="0" fontId="11" fillId="5" borderId="110" xfId="7" applyFont="1" applyFill="1" applyBorder="1" applyAlignment="1">
      <alignment horizontal="center" vertical="center"/>
    </xf>
    <xf numFmtId="0" fontId="11" fillId="5" borderId="103" xfId="7" applyFont="1" applyFill="1" applyBorder="1" applyAlignment="1">
      <alignment horizontal="center" vertical="center"/>
    </xf>
    <xf numFmtId="0" fontId="25" fillId="0" borderId="0" xfId="0" applyFont="1" applyAlignment="1">
      <alignment horizontal="center"/>
    </xf>
    <xf numFmtId="0" fontId="19" fillId="7" borderId="5" xfId="7" applyFont="1" applyFill="1" applyBorder="1" applyAlignment="1">
      <alignment horizontal="center" vertical="center"/>
    </xf>
    <xf numFmtId="0" fontId="19" fillId="7" borderId="114" xfId="7" applyFont="1" applyFill="1" applyBorder="1" applyAlignment="1">
      <alignment horizontal="center" vertical="center"/>
    </xf>
    <xf numFmtId="0" fontId="19" fillId="7" borderId="97" xfId="7" applyFont="1" applyFill="1" applyBorder="1" applyAlignment="1">
      <alignment horizontal="center" vertical="center"/>
    </xf>
    <xf numFmtId="0" fontId="19" fillId="7" borderId="111" xfId="7" applyFont="1" applyFill="1" applyBorder="1" applyAlignment="1">
      <alignment horizontal="center" vertical="center"/>
    </xf>
    <xf numFmtId="0" fontId="8" fillId="0" borderId="4" xfId="7" applyFont="1" applyBorder="1" applyAlignment="1">
      <alignment horizontal="left" vertical="center"/>
    </xf>
    <xf numFmtId="0" fontId="8" fillId="0" borderId="25" xfId="7" applyFont="1" applyBorder="1" applyAlignment="1">
      <alignment horizontal="left" vertical="center"/>
    </xf>
    <xf numFmtId="0" fontId="8" fillId="0" borderId="28" xfId="7" applyFont="1" applyBorder="1" applyAlignment="1">
      <alignment horizontal="left" vertical="center"/>
    </xf>
    <xf numFmtId="0" fontId="8" fillId="9" borderId="88" xfId="0" applyFont="1" applyFill="1" applyBorder="1" applyAlignment="1" applyProtection="1">
      <alignment horizontal="center" vertical="center"/>
      <protection locked="0"/>
    </xf>
    <xf numFmtId="0" fontId="8" fillId="9" borderId="70" xfId="0" applyFont="1" applyFill="1" applyBorder="1" applyAlignment="1" applyProtection="1">
      <alignment horizontal="center" vertical="center"/>
      <protection locked="0"/>
    </xf>
    <xf numFmtId="185" fontId="17" fillId="0" borderId="29" xfId="0" applyNumberFormat="1" applyFont="1" applyBorder="1" applyAlignment="1">
      <alignment horizontal="center"/>
    </xf>
    <xf numFmtId="203" fontId="17" fillId="11" borderId="2" xfId="0" applyNumberFormat="1" applyFont="1" applyFill="1" applyBorder="1" applyAlignment="1">
      <alignment horizontal="center" vertical="center"/>
    </xf>
    <xf numFmtId="176" fontId="17" fillId="11" borderId="2" xfId="0" applyNumberFormat="1" applyFont="1" applyFill="1" applyBorder="1" applyAlignment="1">
      <alignment horizontal="center" vertical="center"/>
    </xf>
    <xf numFmtId="176" fontId="66" fillId="11" borderId="2" xfId="0" applyNumberFormat="1" applyFont="1" applyFill="1" applyBorder="1" applyAlignment="1">
      <alignment horizontal="center" vertical="center" wrapText="1"/>
    </xf>
    <xf numFmtId="176" fontId="17" fillId="11" borderId="4" xfId="1" applyNumberFormat="1" applyFont="1" applyFill="1" applyBorder="1" applyAlignment="1" applyProtection="1">
      <alignment horizontal="center" vertical="center"/>
    </xf>
    <xf numFmtId="176" fontId="17" fillId="11" borderId="25" xfId="1" applyNumberFormat="1" applyFont="1" applyFill="1" applyBorder="1" applyAlignment="1" applyProtection="1">
      <alignment horizontal="center" vertical="center"/>
    </xf>
    <xf numFmtId="176" fontId="17" fillId="11" borderId="28" xfId="1" applyNumberFormat="1" applyFont="1" applyFill="1" applyBorder="1" applyAlignment="1" applyProtection="1">
      <alignment horizontal="center" vertical="center"/>
    </xf>
    <xf numFmtId="176" fontId="17" fillId="11" borderId="2" xfId="1" applyNumberFormat="1" applyFont="1" applyFill="1" applyBorder="1" applyAlignment="1" applyProtection="1">
      <alignment horizontal="center" vertical="center"/>
    </xf>
    <xf numFmtId="0" fontId="13" fillId="7" borderId="7" xfId="0" applyFont="1" applyFill="1" applyBorder="1" applyAlignment="1">
      <alignment horizontal="center" vertical="center"/>
    </xf>
    <xf numFmtId="0" fontId="13" fillId="7" borderId="26" xfId="0" applyFont="1" applyFill="1" applyBorder="1" applyAlignment="1">
      <alignment horizontal="center" vertical="center"/>
    </xf>
    <xf numFmtId="0" fontId="13" fillId="7" borderId="8" xfId="0" applyFont="1" applyFill="1" applyBorder="1" applyAlignment="1">
      <alignment horizontal="center" vertical="center"/>
    </xf>
    <xf numFmtId="0" fontId="8" fillId="9" borderId="0" xfId="0" applyFont="1" applyFill="1" applyAlignment="1" applyProtection="1">
      <alignment horizontal="center" vertical="center"/>
      <protection locked="0"/>
    </xf>
    <xf numFmtId="0" fontId="8" fillId="9" borderId="34" xfId="0" applyFont="1" applyFill="1" applyBorder="1" applyAlignment="1" applyProtection="1">
      <alignment horizontal="center" vertical="center"/>
      <protection locked="0"/>
    </xf>
    <xf numFmtId="0" fontId="8" fillId="9" borderId="50" xfId="0" applyFont="1" applyFill="1" applyBorder="1" applyAlignment="1" applyProtection="1">
      <alignment horizontal="center" vertical="center"/>
      <protection locked="0"/>
    </xf>
    <xf numFmtId="0" fontId="8" fillId="9" borderId="51" xfId="0" applyFont="1" applyFill="1" applyBorder="1" applyAlignment="1" applyProtection="1">
      <alignment horizontal="center" vertical="center"/>
      <protection locked="0"/>
    </xf>
    <xf numFmtId="186" fontId="12" fillId="11" borderId="18" xfId="1" applyNumberFormat="1" applyFont="1" applyFill="1" applyBorder="1" applyAlignment="1" applyProtection="1">
      <alignment horizontal="center" vertical="center"/>
    </xf>
    <xf numFmtId="186" fontId="12" fillId="11" borderId="19" xfId="1" applyNumberFormat="1" applyFont="1" applyFill="1" applyBorder="1" applyAlignment="1" applyProtection="1">
      <alignment horizontal="center" vertical="center"/>
    </xf>
    <xf numFmtId="186" fontId="12" fillId="11" borderId="24" xfId="1" applyNumberFormat="1" applyFont="1" applyFill="1" applyBorder="1" applyAlignment="1" applyProtection="1">
      <alignment horizontal="center" vertical="center"/>
    </xf>
    <xf numFmtId="176" fontId="8" fillId="9" borderId="50" xfId="0" applyNumberFormat="1" applyFont="1" applyFill="1" applyBorder="1" applyAlignment="1" applyProtection="1">
      <alignment horizontal="center" vertical="center"/>
      <protection locked="0"/>
    </xf>
    <xf numFmtId="176" fontId="8" fillId="9" borderId="51" xfId="0" applyNumberFormat="1" applyFont="1" applyFill="1" applyBorder="1" applyAlignment="1" applyProtection="1">
      <alignment horizontal="center" vertical="center"/>
      <protection locked="0"/>
    </xf>
    <xf numFmtId="0" fontId="8" fillId="9" borderId="89" xfId="0" applyFont="1" applyFill="1" applyBorder="1" applyAlignment="1" applyProtection="1">
      <alignment horizontal="center" vertical="center"/>
      <protection locked="0"/>
    </xf>
    <xf numFmtId="0" fontId="8" fillId="9" borderId="86" xfId="0" applyFont="1" applyFill="1" applyBorder="1" applyAlignment="1" applyProtection="1">
      <alignment horizontal="center" vertical="center"/>
      <protection locked="0"/>
    </xf>
    <xf numFmtId="0" fontId="8" fillId="9" borderId="82" xfId="0" applyFont="1" applyFill="1" applyBorder="1" applyAlignment="1" applyProtection="1">
      <alignment horizontal="center" vertical="center"/>
      <protection locked="0"/>
    </xf>
    <xf numFmtId="0" fontId="8" fillId="9" borderId="53" xfId="0" applyFont="1" applyFill="1" applyBorder="1" applyAlignment="1" applyProtection="1">
      <alignment horizontal="center" vertical="center"/>
      <protection locked="0"/>
    </xf>
    <xf numFmtId="203" fontId="17" fillId="11" borderId="2" xfId="1" applyNumberFormat="1" applyFont="1" applyFill="1" applyBorder="1" applyAlignment="1" applyProtection="1">
      <alignment horizontal="center" vertical="center"/>
    </xf>
    <xf numFmtId="176" fontId="17" fillId="11" borderId="83" xfId="1" applyNumberFormat="1" applyFont="1" applyFill="1" applyBorder="1" applyAlignment="1" applyProtection="1">
      <alignment horizontal="center" vertical="center"/>
    </xf>
    <xf numFmtId="176" fontId="17" fillId="11" borderId="84" xfId="1" applyNumberFormat="1" applyFont="1" applyFill="1" applyBorder="1" applyAlignment="1" applyProtection="1">
      <alignment horizontal="center" vertical="center"/>
    </xf>
    <xf numFmtId="176" fontId="17" fillId="11" borderId="85" xfId="1" applyNumberFormat="1" applyFont="1" applyFill="1" applyBorder="1" applyAlignment="1" applyProtection="1">
      <alignment horizontal="center" vertical="center"/>
    </xf>
    <xf numFmtId="202" fontId="17" fillId="11" borderId="2" xfId="1" applyNumberFormat="1" applyFont="1" applyFill="1" applyBorder="1" applyAlignment="1" applyProtection="1">
      <alignment horizontal="center" vertical="center"/>
    </xf>
    <xf numFmtId="177" fontId="17" fillId="11" borderId="2" xfId="0" applyNumberFormat="1" applyFont="1" applyFill="1" applyBorder="1" applyAlignment="1">
      <alignment horizontal="center" vertical="center"/>
    </xf>
    <xf numFmtId="186" fontId="17" fillId="11" borderId="2" xfId="0" applyNumberFormat="1" applyFont="1" applyFill="1" applyBorder="1" applyAlignment="1">
      <alignment horizontal="center" vertical="center"/>
    </xf>
    <xf numFmtId="0" fontId="19" fillId="7" borderId="4" xfId="0" applyFont="1" applyFill="1" applyBorder="1" applyAlignment="1">
      <alignment horizontal="center" vertical="center"/>
    </xf>
    <xf numFmtId="0" fontId="19" fillId="7" borderId="25" xfId="0" applyFont="1" applyFill="1" applyBorder="1" applyAlignment="1">
      <alignment horizontal="center" vertical="center"/>
    </xf>
    <xf numFmtId="0" fontId="19" fillId="7" borderId="28" xfId="0" applyFont="1" applyFill="1" applyBorder="1" applyAlignment="1">
      <alignment horizontal="center" vertical="center"/>
    </xf>
    <xf numFmtId="203" fontId="17" fillId="11" borderId="4" xfId="1" applyNumberFormat="1" applyFont="1" applyFill="1" applyBorder="1" applyAlignment="1" applyProtection="1">
      <alignment horizontal="center" vertical="center"/>
    </xf>
    <xf numFmtId="203" fontId="17" fillId="11" borderId="25" xfId="1" applyNumberFormat="1" applyFont="1" applyFill="1" applyBorder="1" applyAlignment="1" applyProtection="1">
      <alignment horizontal="center" vertical="center"/>
    </xf>
    <xf numFmtId="203" fontId="17" fillId="11" borderId="28" xfId="1" applyNumberFormat="1" applyFont="1" applyFill="1" applyBorder="1" applyAlignment="1" applyProtection="1">
      <alignment horizontal="center" vertical="center"/>
    </xf>
    <xf numFmtId="0" fontId="8" fillId="7" borderId="7" xfId="0" applyFont="1" applyFill="1" applyBorder="1" applyAlignment="1">
      <alignment horizontal="center" vertical="center" wrapText="1"/>
    </xf>
    <xf numFmtId="0" fontId="8" fillId="9" borderId="137" xfId="0" applyFont="1" applyFill="1" applyBorder="1" applyAlignment="1" applyProtection="1">
      <alignment horizontal="center" vertical="center"/>
      <protection locked="0"/>
    </xf>
    <xf numFmtId="0" fontId="8" fillId="9" borderId="138" xfId="0" applyFont="1" applyFill="1" applyBorder="1" applyAlignment="1" applyProtection="1">
      <alignment horizontal="center" vertical="center"/>
      <protection locked="0"/>
    </xf>
    <xf numFmtId="0" fontId="8" fillId="9" borderId="68" xfId="0" applyFont="1" applyFill="1" applyBorder="1" applyAlignment="1" applyProtection="1">
      <alignment horizontal="center" vertical="center"/>
      <protection locked="0"/>
    </xf>
    <xf numFmtId="0" fontId="8" fillId="9" borderId="67" xfId="0" applyFont="1" applyFill="1" applyBorder="1" applyAlignment="1" applyProtection="1">
      <alignment horizontal="center" vertical="center"/>
      <protection locked="0"/>
    </xf>
    <xf numFmtId="0" fontId="8" fillId="9" borderId="81" xfId="0" applyFont="1" applyFill="1" applyBorder="1" applyAlignment="1" applyProtection="1">
      <alignment horizontal="center" vertical="center"/>
      <protection locked="0"/>
    </xf>
    <xf numFmtId="0" fontId="8" fillId="9" borderId="69" xfId="0" applyFont="1" applyFill="1" applyBorder="1" applyAlignment="1" applyProtection="1">
      <alignment horizontal="center" vertical="center"/>
      <protection locked="0"/>
    </xf>
    <xf numFmtId="0" fontId="8" fillId="10" borderId="4" xfId="0" applyFont="1" applyFill="1" applyBorder="1" applyAlignment="1" applyProtection="1">
      <alignment horizontal="center" vertical="center" wrapText="1"/>
      <protection locked="0"/>
    </xf>
    <xf numFmtId="0" fontId="8" fillId="10" borderId="28" xfId="0" applyFont="1" applyFill="1" applyBorder="1" applyAlignment="1" applyProtection="1">
      <alignment horizontal="center" vertical="center" wrapText="1"/>
      <protection locked="0"/>
    </xf>
    <xf numFmtId="0" fontId="8" fillId="9" borderId="117" xfId="0" applyFont="1" applyFill="1" applyBorder="1" applyAlignment="1" applyProtection="1">
      <alignment horizontal="center" vertical="center"/>
      <protection locked="0"/>
    </xf>
    <xf numFmtId="0" fontId="8" fillId="9" borderId="135" xfId="0" applyFont="1" applyFill="1" applyBorder="1" applyAlignment="1" applyProtection="1">
      <alignment horizontal="center" vertical="center"/>
      <protection locked="0"/>
    </xf>
    <xf numFmtId="0" fontId="8" fillId="9" borderId="136" xfId="0" applyFont="1" applyFill="1" applyBorder="1" applyAlignment="1" applyProtection="1">
      <alignment horizontal="center" vertical="center"/>
      <protection locked="0"/>
    </xf>
    <xf numFmtId="0" fontId="8" fillId="9" borderId="121" xfId="0" applyFont="1" applyFill="1" applyBorder="1" applyAlignment="1" applyProtection="1">
      <alignment horizontal="center" vertical="center"/>
      <protection locked="0"/>
    </xf>
    <xf numFmtId="0" fontId="8" fillId="9" borderId="122" xfId="0" applyFont="1" applyFill="1" applyBorder="1" applyAlignment="1" applyProtection="1">
      <alignment horizontal="center" vertical="center"/>
      <protection locked="0"/>
    </xf>
    <xf numFmtId="0" fontId="8" fillId="9" borderId="125" xfId="0" applyFont="1" applyFill="1" applyBorder="1" applyAlignment="1" applyProtection="1">
      <alignment horizontal="center" vertical="center"/>
      <protection locked="0"/>
    </xf>
    <xf numFmtId="0" fontId="8" fillId="9" borderId="71" xfId="0" applyFont="1" applyFill="1" applyBorder="1" applyAlignment="1" applyProtection="1">
      <alignment horizontal="center" vertical="center"/>
      <protection locked="0"/>
    </xf>
    <xf numFmtId="0" fontId="19" fillId="7" borderId="17"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23" xfId="0" applyFont="1" applyFill="1" applyBorder="1" applyAlignment="1">
      <alignment horizontal="center" vertical="center"/>
    </xf>
    <xf numFmtId="0" fontId="19" fillId="7" borderId="18"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24" xfId="0" applyFont="1" applyFill="1" applyBorder="1" applyAlignment="1">
      <alignment horizontal="center" vertical="center"/>
    </xf>
    <xf numFmtId="0" fontId="13" fillId="7" borderId="7"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0" borderId="2" xfId="0" applyFont="1" applyBorder="1" applyAlignment="1">
      <alignment horizontal="center" vertical="center"/>
    </xf>
    <xf numFmtId="0" fontId="8" fillId="9" borderId="124" xfId="0" applyFont="1" applyFill="1" applyBorder="1" applyAlignment="1" applyProtection="1">
      <alignment horizontal="center" vertical="center"/>
      <protection locked="0"/>
    </xf>
    <xf numFmtId="0" fontId="8" fillId="9" borderId="92" xfId="0" applyFont="1" applyFill="1" applyBorder="1" applyAlignment="1" applyProtection="1">
      <alignment horizontal="center" vertical="center"/>
      <protection locked="0"/>
    </xf>
    <xf numFmtId="0" fontId="8" fillId="9" borderId="90" xfId="0" applyFont="1" applyFill="1" applyBorder="1" applyAlignment="1" applyProtection="1">
      <alignment horizontal="center" vertical="center"/>
      <protection locked="0"/>
    </xf>
    <xf numFmtId="0" fontId="8" fillId="9" borderId="91" xfId="0" applyFont="1" applyFill="1" applyBorder="1" applyAlignment="1" applyProtection="1">
      <alignment horizontal="center" vertical="center"/>
      <protection locked="0"/>
    </xf>
    <xf numFmtId="0" fontId="8" fillId="10" borderId="2" xfId="0" applyFont="1" applyFill="1" applyBorder="1" applyAlignment="1" applyProtection="1">
      <alignment horizontal="center" vertical="center" wrapText="1"/>
      <protection locked="0"/>
    </xf>
    <xf numFmtId="0" fontId="8" fillId="9" borderId="94" xfId="0" applyFont="1" applyFill="1" applyBorder="1" applyAlignment="1" applyProtection="1">
      <alignment horizontal="center" vertical="center"/>
      <protection locked="0"/>
    </xf>
    <xf numFmtId="0" fontId="8" fillId="9" borderId="95" xfId="0" applyFont="1" applyFill="1" applyBorder="1" applyAlignment="1" applyProtection="1">
      <alignment horizontal="center" vertical="center"/>
      <protection locked="0"/>
    </xf>
    <xf numFmtId="0" fontId="8" fillId="3" borderId="7" xfId="0" applyFont="1" applyFill="1"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17" fillId="9" borderId="4" xfId="0" applyFont="1" applyFill="1" applyBorder="1" applyAlignment="1" applyProtection="1">
      <alignment horizontal="center" vertical="top"/>
      <protection locked="0"/>
    </xf>
    <xf numFmtId="0" fontId="17" fillId="9" borderId="28" xfId="0" applyFont="1" applyFill="1" applyBorder="1" applyAlignment="1" applyProtection="1">
      <alignment horizontal="center" vertical="top"/>
      <protection locked="0"/>
    </xf>
    <xf numFmtId="0" fontId="8" fillId="9" borderId="54" xfId="0" applyFont="1" applyFill="1" applyBorder="1" applyAlignment="1">
      <alignment horizontal="center" vertical="top"/>
    </xf>
    <xf numFmtId="0" fontId="8" fillId="9" borderId="126" xfId="0" applyFont="1" applyFill="1" applyBorder="1" applyAlignment="1">
      <alignment horizontal="center" vertical="top"/>
    </xf>
    <xf numFmtId="0" fontId="8" fillId="9" borderId="131" xfId="0" applyFont="1" applyFill="1" applyBorder="1" applyAlignment="1" applyProtection="1">
      <alignment horizontal="center" vertical="center"/>
      <protection locked="0"/>
    </xf>
    <xf numFmtId="0" fontId="0" fillId="0" borderId="0" xfId="0" applyAlignment="1">
      <alignment vertical="center" wrapText="1"/>
    </xf>
    <xf numFmtId="176" fontId="8" fillId="9" borderId="0" xfId="0" applyNumberFormat="1" applyFont="1" applyFill="1" applyAlignment="1" applyProtection="1">
      <alignment horizontal="center" vertical="center"/>
      <protection locked="0"/>
    </xf>
    <xf numFmtId="176" fontId="8" fillId="9" borderId="34" xfId="0" applyNumberFormat="1" applyFont="1" applyFill="1" applyBorder="1" applyAlignment="1" applyProtection="1">
      <alignment horizontal="center" vertical="center"/>
      <protection locked="0"/>
    </xf>
    <xf numFmtId="0" fontId="8" fillId="9" borderId="134" xfId="0" applyFont="1" applyFill="1" applyBorder="1" applyAlignment="1" applyProtection="1">
      <alignment horizontal="center" vertical="center"/>
      <protection locked="0"/>
    </xf>
    <xf numFmtId="0" fontId="8" fillId="9" borderId="123" xfId="0" applyFont="1" applyFill="1" applyBorder="1" applyAlignment="1" applyProtection="1">
      <alignment horizontal="center" vertical="center"/>
      <protection locked="0"/>
    </xf>
    <xf numFmtId="0" fontId="8" fillId="9" borderId="96" xfId="0" applyFont="1" applyFill="1" applyBorder="1" applyAlignment="1" applyProtection="1">
      <alignment horizontal="center" vertical="center"/>
      <protection locked="0"/>
    </xf>
    <xf numFmtId="0" fontId="8" fillId="9" borderId="93" xfId="0" applyFont="1" applyFill="1" applyBorder="1" applyAlignment="1" applyProtection="1">
      <alignment horizontal="center" vertical="center"/>
      <protection locked="0"/>
    </xf>
    <xf numFmtId="0" fontId="51" fillId="0" borderId="27" xfId="0" applyFont="1" applyBorder="1" applyAlignment="1">
      <alignment horizontal="right" vertical="center"/>
    </xf>
    <xf numFmtId="0" fontId="86" fillId="0" borderId="4" xfId="7" applyFont="1" applyBorder="1" applyAlignment="1">
      <alignment horizontal="left" vertical="center"/>
    </xf>
    <xf numFmtId="0" fontId="86" fillId="0" borderId="25" xfId="7" applyFont="1" applyBorder="1" applyAlignment="1">
      <alignment horizontal="left" vertical="center"/>
    </xf>
    <xf numFmtId="0" fontId="86" fillId="0" borderId="28" xfId="7" applyFont="1" applyBorder="1" applyAlignment="1">
      <alignment horizontal="left" vertical="center"/>
    </xf>
    <xf numFmtId="0" fontId="89" fillId="0" borderId="4" xfId="7" applyFont="1" applyBorder="1" applyAlignment="1">
      <alignment horizontal="center" vertical="center"/>
    </xf>
    <xf numFmtId="0" fontId="89" fillId="0" borderId="28" xfId="7" applyFont="1" applyBorder="1" applyAlignment="1">
      <alignment horizontal="center" vertical="center"/>
    </xf>
    <xf numFmtId="0" fontId="13" fillId="0" borderId="11" xfId="0" applyFont="1" applyBorder="1" applyAlignment="1">
      <alignment horizontal="center" vertical="center"/>
    </xf>
    <xf numFmtId="0" fontId="13" fillId="0" borderId="21" xfId="0" applyFont="1" applyBorder="1" applyAlignment="1">
      <alignment horizontal="center" vertical="center"/>
    </xf>
    <xf numFmtId="0" fontId="13" fillId="0" borderId="10" xfId="0" applyFont="1" applyBorder="1" applyAlignment="1">
      <alignment horizontal="center" vertical="center"/>
    </xf>
    <xf numFmtId="0" fontId="85" fillId="0" borderId="2" xfId="0" applyFont="1" applyBorder="1" applyAlignment="1">
      <alignment horizontal="left"/>
    </xf>
    <xf numFmtId="0" fontId="85" fillId="0" borderId="28" xfId="0" applyFont="1" applyBorder="1" applyAlignment="1">
      <alignment horizontal="left"/>
    </xf>
    <xf numFmtId="0" fontId="87" fillId="7" borderId="4" xfId="0" applyFont="1" applyFill="1" applyBorder="1" applyAlignment="1">
      <alignment horizontal="center" vertical="center"/>
    </xf>
    <xf numFmtId="0" fontId="87" fillId="7" borderId="25" xfId="0" applyFont="1" applyFill="1" applyBorder="1" applyAlignment="1">
      <alignment horizontal="center" vertical="center"/>
    </xf>
    <xf numFmtId="0" fontId="87" fillId="7" borderId="28" xfId="0" applyFont="1" applyFill="1" applyBorder="1" applyAlignment="1">
      <alignment horizontal="center" vertical="center"/>
    </xf>
    <xf numFmtId="0" fontId="85" fillId="4" borderId="2" xfId="0" applyFont="1" applyFill="1" applyBorder="1" applyAlignment="1">
      <alignment horizontal="left"/>
    </xf>
    <xf numFmtId="0" fontId="86" fillId="7" borderId="4" xfId="0" applyFont="1" applyFill="1" applyBorder="1" applyAlignment="1">
      <alignment horizontal="center" vertical="center"/>
    </xf>
    <xf numFmtId="0" fontId="86" fillId="7" borderId="25" xfId="0" applyFont="1" applyFill="1" applyBorder="1" applyAlignment="1">
      <alignment horizontal="center" vertical="center"/>
    </xf>
    <xf numFmtId="0" fontId="86" fillId="7" borderId="28" xfId="0" applyFont="1" applyFill="1" applyBorder="1" applyAlignment="1">
      <alignment horizontal="center" vertical="center"/>
    </xf>
    <xf numFmtId="0" fontId="86" fillId="0" borderId="25" xfId="7" applyFont="1" applyBorder="1" applyAlignment="1">
      <alignment horizontal="center" vertical="center"/>
    </xf>
    <xf numFmtId="0" fontId="86" fillId="0" borderId="28" xfId="7" applyFont="1" applyBorder="1" applyAlignment="1">
      <alignment horizontal="center" vertical="center"/>
    </xf>
    <xf numFmtId="0" fontId="12" fillId="7" borderId="4" xfId="7" applyFont="1" applyFill="1" applyBorder="1" applyAlignment="1">
      <alignment horizontal="center" vertical="center"/>
    </xf>
    <xf numFmtId="0" fontId="12" fillId="7" borderId="25" xfId="7" applyFont="1" applyFill="1" applyBorder="1" applyAlignment="1">
      <alignment horizontal="center" vertical="center"/>
    </xf>
    <xf numFmtId="0" fontId="12" fillId="7" borderId="28" xfId="7" applyFont="1" applyFill="1" applyBorder="1" applyAlignment="1">
      <alignment horizontal="center" vertical="center"/>
    </xf>
    <xf numFmtId="0" fontId="86" fillId="0" borderId="4" xfId="7" applyFont="1" applyBorder="1" applyAlignment="1">
      <alignment horizontal="center" vertical="center"/>
    </xf>
    <xf numFmtId="0" fontId="19" fillId="7" borderId="4" xfId="7" applyFont="1" applyFill="1" applyBorder="1" applyAlignment="1">
      <alignment horizontal="center" vertical="center"/>
    </xf>
    <xf numFmtId="0" fontId="19" fillId="7" borderId="25" xfId="7" applyFont="1" applyFill="1" applyBorder="1" applyAlignment="1">
      <alignment horizontal="center" vertical="center"/>
    </xf>
    <xf numFmtId="0" fontId="19" fillId="7" borderId="28" xfId="7" applyFont="1" applyFill="1" applyBorder="1" applyAlignment="1">
      <alignment horizontal="center" vertical="center"/>
    </xf>
    <xf numFmtId="0" fontId="87" fillId="0" borderId="25" xfId="0" applyFont="1" applyBorder="1" applyAlignment="1">
      <alignment horizontal="center"/>
    </xf>
    <xf numFmtId="0" fontId="87" fillId="0" borderId="28" xfId="0" applyFont="1" applyBorder="1" applyAlignment="1">
      <alignment horizontal="center"/>
    </xf>
    <xf numFmtId="0" fontId="89" fillId="0" borderId="4" xfId="0" applyFont="1" applyBorder="1" applyAlignment="1">
      <alignment horizontal="center"/>
    </xf>
    <xf numFmtId="0" fontId="89" fillId="0" borderId="25" xfId="0" applyFont="1" applyBorder="1" applyAlignment="1">
      <alignment horizontal="center"/>
    </xf>
    <xf numFmtId="0" fontId="89" fillId="0" borderId="28" xfId="0" applyFont="1" applyBorder="1" applyAlignment="1">
      <alignment horizontal="center"/>
    </xf>
    <xf numFmtId="0" fontId="25" fillId="0" borderId="0" xfId="0" applyFont="1" applyAlignment="1">
      <alignment horizontal="left" vertical="center" wrapText="1"/>
    </xf>
    <xf numFmtId="0" fontId="13" fillId="0" borderId="0" xfId="0" applyFont="1" applyAlignment="1">
      <alignment horizontal="center" wrapText="1"/>
    </xf>
    <xf numFmtId="0" fontId="25" fillId="0" borderId="27" xfId="7" applyFont="1" applyBorder="1" applyAlignment="1">
      <alignment horizontal="left" vertical="center"/>
    </xf>
    <xf numFmtId="0" fontId="25" fillId="0" borderId="0" xfId="7" applyFont="1" applyAlignment="1">
      <alignment horizontal="left" vertical="center"/>
    </xf>
    <xf numFmtId="0" fontId="5" fillId="0" borderId="4" xfId="7" applyBorder="1" applyAlignment="1">
      <alignment horizontal="left" vertical="center"/>
    </xf>
    <xf numFmtId="0" fontId="5" fillId="0" borderId="25" xfId="7" applyBorder="1" applyAlignment="1">
      <alignment horizontal="left" vertical="center"/>
    </xf>
    <xf numFmtId="0" fontId="5" fillId="0" borderId="28" xfId="7" applyBorder="1" applyAlignment="1">
      <alignment horizontal="left" vertical="center"/>
    </xf>
    <xf numFmtId="0" fontId="5" fillId="0" borderId="4" xfId="7" applyBorder="1" applyAlignment="1">
      <alignment horizontal="center" vertical="center"/>
    </xf>
    <xf numFmtId="0" fontId="5" fillId="0" borderId="28" xfId="7" applyBorder="1" applyAlignment="1">
      <alignment horizontal="center" vertical="center"/>
    </xf>
    <xf numFmtId="0" fontId="5" fillId="0" borderId="25" xfId="7" applyBorder="1" applyAlignment="1">
      <alignment horizontal="center" vertical="center"/>
    </xf>
    <xf numFmtId="0" fontId="5" fillId="0" borderId="2" xfId="7" applyBorder="1" applyAlignment="1">
      <alignment horizontal="left" vertical="center"/>
    </xf>
    <xf numFmtId="0" fontId="8" fillId="7" borderId="15"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5" xfId="0" applyFont="1" applyFill="1" applyBorder="1" applyAlignment="1">
      <alignment horizontal="center" wrapText="1"/>
    </xf>
    <xf numFmtId="0" fontId="8" fillId="7" borderId="9" xfId="0" applyFont="1" applyFill="1" applyBorder="1" applyAlignment="1">
      <alignment horizontal="center" wrapText="1"/>
    </xf>
    <xf numFmtId="0" fontId="8" fillId="5" borderId="5" xfId="0" applyFont="1" applyFill="1" applyBorder="1"/>
    <xf numFmtId="0" fontId="8" fillId="5" borderId="54" xfId="0" applyFont="1" applyFill="1" applyBorder="1"/>
    <xf numFmtId="0" fontId="8" fillId="5" borderId="55" xfId="0" applyFont="1" applyFill="1" applyBorder="1"/>
    <xf numFmtId="0" fontId="19" fillId="7" borderId="11"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0" borderId="4" xfId="7" applyFont="1" applyBorder="1" applyAlignment="1">
      <alignment horizontal="center" vertical="center"/>
    </xf>
    <xf numFmtId="0" fontId="8" fillId="0" borderId="28" xfId="7" applyFont="1" applyBorder="1" applyAlignment="1">
      <alignment horizontal="center" vertical="center"/>
    </xf>
    <xf numFmtId="0" fontId="8" fillId="0" borderId="2" xfId="7" applyFont="1" applyBorder="1" applyAlignment="1">
      <alignment horizontal="left" vertical="center"/>
    </xf>
    <xf numFmtId="0" fontId="8" fillId="0" borderId="6" xfId="0" applyFont="1" applyBorder="1" applyAlignment="1">
      <alignment horizontal="center"/>
    </xf>
    <xf numFmtId="0" fontId="8" fillId="0" borderId="0" xfId="0" applyFont="1" applyAlignment="1">
      <alignment horizontal="center"/>
    </xf>
  </cellXfs>
  <cellStyles count="16">
    <cellStyle name="パーセント" xfId="5" builtinId="5"/>
    <cellStyle name="パーセント 2" xfId="9" xr:uid="{A832DEEF-1179-475A-B125-25A9A6772A2D}"/>
    <cellStyle name="桁区切り" xfId="1" builtinId="6"/>
    <cellStyle name="桁区切り 2" xfId="8" xr:uid="{4F9FF519-3006-4057-BF89-E33E7AAA8239}"/>
    <cellStyle name="桁区切り 2 2" xfId="11" xr:uid="{8BF8B2CF-C306-41DF-B586-4B4A60A3D77C}"/>
    <cellStyle name="桁区切り 2 3" xfId="13" xr:uid="{CD5F4FF6-9ADA-4473-9B96-8B249E6B65A5}"/>
    <cellStyle name="桁区切り 2 4" xfId="15" xr:uid="{25CB8F52-9611-4402-B663-EB25D21BBD62}"/>
    <cellStyle name="標準" xfId="0" builtinId="0"/>
    <cellStyle name="標準 2" xfId="2" xr:uid="{84751844-BE9B-43A3-AB0A-B885DFB6B21B}"/>
    <cellStyle name="標準 2 2" xfId="3" xr:uid="{3C1931EC-E935-4666-BDEA-62E7BC3E6874}"/>
    <cellStyle name="標準 2 3" xfId="6" xr:uid="{D1C74E87-2D0F-43DA-95CD-C50DC94F6BF0}"/>
    <cellStyle name="標準 3" xfId="4" xr:uid="{E8D7BA2E-085D-4864-A01C-3562B3A0E761}"/>
    <cellStyle name="標準 4" xfId="7" xr:uid="{DCF26837-CB81-47D2-AB8F-A2A91014D6FA}"/>
    <cellStyle name="標準 4 2" xfId="10" xr:uid="{97266552-DF8A-4B5A-B815-131182A34612}"/>
    <cellStyle name="標準 4 3" xfId="12" xr:uid="{B22D7F90-F9A5-417E-BC10-B5871F049D7D}"/>
    <cellStyle name="標準 4 4" xfId="14" xr:uid="{AC0C8D09-7010-4328-925B-D79FCF9BBB5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
      <fill>
        <patternFill>
          <bgColor theme="3" tint="0.79998168889431442"/>
        </patternFill>
      </fill>
    </dxf>
  </dxfs>
  <tableStyles count="0" defaultTableStyle="TableStyleMedium2" defaultPivotStyle="PivotStyleLight16"/>
  <colors>
    <mruColors>
      <color rgb="FF321EDC"/>
      <color rgb="FFFFFFCC"/>
      <color rgb="FFD2E6FA"/>
      <color rgb="FFD2E6B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104775</xdr:rowOff>
    </xdr:from>
    <xdr:to>
      <xdr:col>12</xdr:col>
      <xdr:colOff>619125</xdr:colOff>
      <xdr:row>2</xdr:row>
      <xdr:rowOff>152401</xdr:rowOff>
    </xdr:to>
    <xdr:sp macro="" textlink="">
      <xdr:nvSpPr>
        <xdr:cNvPr id="2" name="四角形: 角を丸くする 1">
          <a:extLst>
            <a:ext uri="{FF2B5EF4-FFF2-40B4-BE49-F238E27FC236}">
              <a16:creationId xmlns:a16="http://schemas.microsoft.com/office/drawing/2014/main" id="{35494234-D93D-4666-AF8E-26F890F90610}"/>
            </a:ext>
          </a:extLst>
        </xdr:cNvPr>
        <xdr:cNvSpPr/>
      </xdr:nvSpPr>
      <xdr:spPr>
        <a:xfrm>
          <a:off x="66675" y="104775"/>
          <a:ext cx="8782050" cy="523876"/>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521018</xdr:colOff>
      <xdr:row>8</xdr:row>
      <xdr:rowOff>107792</xdr:rowOff>
    </xdr:from>
    <xdr:to>
      <xdr:col>10</xdr:col>
      <xdr:colOff>391026</xdr:colOff>
      <xdr:row>8</xdr:row>
      <xdr:rowOff>120315</xdr:rowOff>
    </xdr:to>
    <xdr:cxnSp macro="">
      <xdr:nvCxnSpPr>
        <xdr:cNvPr id="3" name="直線矢印コネクタ 2">
          <a:extLst>
            <a:ext uri="{FF2B5EF4-FFF2-40B4-BE49-F238E27FC236}">
              <a16:creationId xmlns:a16="http://schemas.microsoft.com/office/drawing/2014/main" id="{162E2880-807E-4050-8CF2-A6BF5470E851}"/>
            </a:ext>
          </a:extLst>
        </xdr:cNvPr>
        <xdr:cNvCxnSpPr/>
      </xdr:nvCxnSpPr>
      <xdr:spPr>
        <a:xfrm>
          <a:off x="4635818" y="2012792"/>
          <a:ext cx="2613208" cy="12523"/>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391026</xdr:colOff>
      <xdr:row>8</xdr:row>
      <xdr:rowOff>121066</xdr:rowOff>
    </xdr:from>
    <xdr:to>
      <xdr:col>10</xdr:col>
      <xdr:colOff>391026</xdr:colOff>
      <xdr:row>27</xdr:row>
      <xdr:rowOff>183593</xdr:rowOff>
    </xdr:to>
    <xdr:cxnSp macro="">
      <xdr:nvCxnSpPr>
        <xdr:cNvPr id="4" name="直線矢印コネクタ 3">
          <a:extLst>
            <a:ext uri="{FF2B5EF4-FFF2-40B4-BE49-F238E27FC236}">
              <a16:creationId xmlns:a16="http://schemas.microsoft.com/office/drawing/2014/main" id="{31CB3D58-D3D4-47F5-827B-897B78A386A8}"/>
            </a:ext>
          </a:extLst>
        </xdr:cNvPr>
        <xdr:cNvCxnSpPr/>
      </xdr:nvCxnSpPr>
      <xdr:spPr>
        <a:xfrm>
          <a:off x="7096626" y="1949866"/>
          <a:ext cx="0" cy="4405927"/>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487104</xdr:colOff>
      <xdr:row>9</xdr:row>
      <xdr:rowOff>88958</xdr:rowOff>
    </xdr:from>
    <xdr:to>
      <xdr:col>4</xdr:col>
      <xdr:colOff>491289</xdr:colOff>
      <xdr:row>15</xdr:row>
      <xdr:rowOff>100263</xdr:rowOff>
    </xdr:to>
    <xdr:cxnSp macro="">
      <xdr:nvCxnSpPr>
        <xdr:cNvPr id="5" name="直線矢印コネクタ 4">
          <a:extLst>
            <a:ext uri="{FF2B5EF4-FFF2-40B4-BE49-F238E27FC236}">
              <a16:creationId xmlns:a16="http://schemas.microsoft.com/office/drawing/2014/main" id="{B960FC6F-B116-4616-B2B8-15914B4FA040}"/>
            </a:ext>
          </a:extLst>
        </xdr:cNvPr>
        <xdr:cNvCxnSpPr/>
      </xdr:nvCxnSpPr>
      <xdr:spPr>
        <a:xfrm>
          <a:off x="3230304" y="2232083"/>
          <a:ext cx="4185" cy="1440055"/>
        </a:xfrm>
        <a:prstGeom prst="straightConnector1">
          <a:avLst/>
        </a:prstGeom>
        <a:ln w="63500">
          <a:solidFill>
            <a:schemeClr val="bg2">
              <a:lumMod val="50000"/>
            </a:schemeClr>
          </a:solidFill>
          <a:prstDash val="solid"/>
          <a:tailEnd type="non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487680</xdr:colOff>
      <xdr:row>8</xdr:row>
      <xdr:rowOff>112395</xdr:rowOff>
    </xdr:from>
    <xdr:to>
      <xdr:col>6</xdr:col>
      <xdr:colOff>38100</xdr:colOff>
      <xdr:row>8</xdr:row>
      <xdr:rowOff>112395</xdr:rowOff>
    </xdr:to>
    <xdr:cxnSp macro="">
      <xdr:nvCxnSpPr>
        <xdr:cNvPr id="6" name="直線矢印コネクタ 5">
          <a:extLst>
            <a:ext uri="{FF2B5EF4-FFF2-40B4-BE49-F238E27FC236}">
              <a16:creationId xmlns:a16="http://schemas.microsoft.com/office/drawing/2014/main" id="{888915F5-05FB-44F7-841E-499CF3BE4690}"/>
            </a:ext>
          </a:extLst>
        </xdr:cNvPr>
        <xdr:cNvCxnSpPr/>
      </xdr:nvCxnSpPr>
      <xdr:spPr>
        <a:xfrm>
          <a:off x="1859280" y="2017395"/>
          <a:ext cx="229362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643608</xdr:colOff>
      <xdr:row>8</xdr:row>
      <xdr:rowOff>167640</xdr:rowOff>
    </xdr:from>
    <xdr:to>
      <xdr:col>0</xdr:col>
      <xdr:colOff>643608</xdr:colOff>
      <xdr:row>21</xdr:row>
      <xdr:rowOff>40693</xdr:rowOff>
    </xdr:to>
    <xdr:cxnSp macro="">
      <xdr:nvCxnSpPr>
        <xdr:cNvPr id="7" name="直線矢印コネクタ 6">
          <a:extLst>
            <a:ext uri="{FF2B5EF4-FFF2-40B4-BE49-F238E27FC236}">
              <a16:creationId xmlns:a16="http://schemas.microsoft.com/office/drawing/2014/main" id="{F9CB8B9B-6557-4C3B-B9A6-8DD7E4D56669}"/>
            </a:ext>
          </a:extLst>
        </xdr:cNvPr>
        <xdr:cNvCxnSpPr/>
      </xdr:nvCxnSpPr>
      <xdr:spPr>
        <a:xfrm>
          <a:off x="643608" y="2072640"/>
          <a:ext cx="0" cy="2968678"/>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661035</xdr:colOff>
      <xdr:row>3</xdr:row>
      <xdr:rowOff>110490</xdr:rowOff>
    </xdr:from>
    <xdr:to>
      <xdr:col>0</xdr:col>
      <xdr:colOff>661035</xdr:colOff>
      <xdr:row>6</xdr:row>
      <xdr:rowOff>129540</xdr:rowOff>
    </xdr:to>
    <xdr:cxnSp macro="">
      <xdr:nvCxnSpPr>
        <xdr:cNvPr id="8" name="直線矢印コネクタ 7">
          <a:extLst>
            <a:ext uri="{FF2B5EF4-FFF2-40B4-BE49-F238E27FC236}">
              <a16:creationId xmlns:a16="http://schemas.microsoft.com/office/drawing/2014/main" id="{452606DE-2032-4321-9A61-BEA45361A5E5}"/>
            </a:ext>
          </a:extLst>
        </xdr:cNvPr>
        <xdr:cNvCxnSpPr/>
      </xdr:nvCxnSpPr>
      <xdr:spPr>
        <a:xfrm>
          <a:off x="661035" y="824865"/>
          <a:ext cx="0" cy="7334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38099</xdr:colOff>
      <xdr:row>0</xdr:row>
      <xdr:rowOff>166686</xdr:rowOff>
    </xdr:from>
    <xdr:to>
      <xdr:col>12</xdr:col>
      <xdr:colOff>657224</xdr:colOff>
      <xdr:row>2</xdr:row>
      <xdr:rowOff>123825</xdr:rowOff>
    </xdr:to>
    <xdr:sp macro="" textlink="">
      <xdr:nvSpPr>
        <xdr:cNvPr id="9" name="テキスト ボックス 8">
          <a:extLst>
            <a:ext uri="{FF2B5EF4-FFF2-40B4-BE49-F238E27FC236}">
              <a16:creationId xmlns:a16="http://schemas.microsoft.com/office/drawing/2014/main" id="{E6650BAC-E7B9-406D-B39A-A08F4C2B9BBF}"/>
            </a:ext>
          </a:extLst>
        </xdr:cNvPr>
        <xdr:cNvSpPr txBox="1"/>
      </xdr:nvSpPr>
      <xdr:spPr>
        <a:xfrm>
          <a:off x="38099" y="166686"/>
          <a:ext cx="8848725" cy="433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設備更新等による</a:t>
          </a:r>
          <a:r>
            <a:rPr kumimoji="1" lang="en-US" altLang="ja-JP" sz="1600" b="1"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CO</a:t>
          </a:r>
          <a:r>
            <a:rPr kumimoji="1" lang="en-US" altLang="ja-JP" sz="1600" b="1" i="0" u="none" strike="noStrike" kern="0" cap="none" spc="0" normalizeH="0" baseline="-2500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600" b="1"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削減効果の算定ツール　（空調機の燃料転換、電化、高効率化）</a:t>
          </a:r>
          <a:r>
            <a:rPr kumimoji="1" lang="ja-JP" altLang="ja-JP" sz="1100" b="1">
              <a:solidFill>
                <a:schemeClr val="tx1"/>
              </a:solidFill>
              <a:effectLst/>
              <a:latin typeface="+mn-lt"/>
              <a:ea typeface="+mn-ea"/>
              <a:cs typeface="+mn-cs"/>
            </a:rPr>
            <a:t>　</a:t>
          </a:r>
          <a:r>
            <a:rPr kumimoji="1" lang="en-US" altLang="ja-JP" sz="1100" b="1">
              <a:solidFill>
                <a:schemeClr val="bg1"/>
              </a:solidFill>
              <a:effectLst/>
              <a:latin typeface="+mn-lt"/>
              <a:ea typeface="+mn-ea"/>
              <a:cs typeface="+mn-cs"/>
            </a:rPr>
            <a:t>Ver. 1.3</a:t>
          </a:r>
        </a:p>
      </xdr:txBody>
    </xdr:sp>
    <xdr:clientData/>
  </xdr:twoCellAnchor>
  <xdr:twoCellAnchor>
    <xdr:from>
      <xdr:col>0</xdr:col>
      <xdr:colOff>133350</xdr:colOff>
      <xdr:row>3</xdr:row>
      <xdr:rowOff>55245</xdr:rowOff>
    </xdr:from>
    <xdr:to>
      <xdr:col>3</xdr:col>
      <xdr:colOff>314324</xdr:colOff>
      <xdr:row>4</xdr:row>
      <xdr:rowOff>207645</xdr:rowOff>
    </xdr:to>
    <xdr:sp macro="" textlink="">
      <xdr:nvSpPr>
        <xdr:cNvPr id="10" name="四角形: 対角を丸める 9">
          <a:extLst>
            <a:ext uri="{FF2B5EF4-FFF2-40B4-BE49-F238E27FC236}">
              <a16:creationId xmlns:a16="http://schemas.microsoft.com/office/drawing/2014/main" id="{05528815-F051-46E2-8D4B-B4AF8840B8A3}"/>
            </a:ext>
          </a:extLst>
        </xdr:cNvPr>
        <xdr:cNvSpPr/>
      </xdr:nvSpPr>
      <xdr:spPr>
        <a:xfrm>
          <a:off x="133350" y="769620"/>
          <a:ext cx="2238374" cy="390525"/>
        </a:xfrm>
        <a:prstGeom prst="round2DiagRect">
          <a:avLst/>
        </a:prstGeom>
        <a:solidFill>
          <a:srgbClr val="CCFFCC"/>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solidFill>
                <a:schemeClr val="tx1"/>
              </a:solidFill>
              <a:effectLst/>
              <a:latin typeface="ＭＳ Ｐゴシック" panose="020B0600070205080204" pitchFamily="50" charset="-128"/>
              <a:ea typeface="ＭＳ Ｐゴシック" panose="020B0600070205080204" pitchFamily="50" charset="-128"/>
            </a:rPr>
            <a:t>スタート</a:t>
          </a:r>
          <a:endParaRPr kumimoji="1" lang="en-US" altLang="ja-JP" sz="14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53341</xdr:colOff>
      <xdr:row>6</xdr:row>
      <xdr:rowOff>146685</xdr:rowOff>
    </xdr:from>
    <xdr:to>
      <xdr:col>2</xdr:col>
      <xdr:colOff>609600</xdr:colOff>
      <xdr:row>10</xdr:row>
      <xdr:rowOff>114300</xdr:rowOff>
    </xdr:to>
    <xdr:grpSp>
      <xdr:nvGrpSpPr>
        <xdr:cNvPr id="11" name="グループ化 10">
          <a:extLst>
            <a:ext uri="{FF2B5EF4-FFF2-40B4-BE49-F238E27FC236}">
              <a16:creationId xmlns:a16="http://schemas.microsoft.com/office/drawing/2014/main" id="{ACD22D3D-B627-4BA0-A062-3DE8D2C39610}"/>
            </a:ext>
          </a:extLst>
        </xdr:cNvPr>
        <xdr:cNvGrpSpPr/>
      </xdr:nvGrpSpPr>
      <xdr:grpSpPr>
        <a:xfrm>
          <a:off x="53341" y="1575435"/>
          <a:ext cx="1927859" cy="920115"/>
          <a:chOff x="53341" y="1640205"/>
          <a:chExt cx="1897379" cy="882015"/>
        </a:xfrm>
      </xdr:grpSpPr>
      <xdr:sp macro="" textlink="">
        <xdr:nvSpPr>
          <xdr:cNvPr id="12" name="フローチャート: 準備 11">
            <a:extLst>
              <a:ext uri="{FF2B5EF4-FFF2-40B4-BE49-F238E27FC236}">
                <a16:creationId xmlns:a16="http://schemas.microsoft.com/office/drawing/2014/main" id="{BB4540FE-A081-1DE0-DE1C-29E14AC5945C}"/>
              </a:ext>
            </a:extLst>
          </xdr:cNvPr>
          <xdr:cNvSpPr/>
        </xdr:nvSpPr>
        <xdr:spPr>
          <a:xfrm>
            <a:off x="53341" y="1640205"/>
            <a:ext cx="1897379" cy="828675"/>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a:extLst>
              <a:ext uri="{FF2B5EF4-FFF2-40B4-BE49-F238E27FC236}">
                <a16:creationId xmlns:a16="http://schemas.microsoft.com/office/drawing/2014/main" id="{5B6432A3-A011-BDE4-47B2-3C24C013305E}"/>
              </a:ext>
            </a:extLst>
          </xdr:cNvPr>
          <xdr:cNvSpPr txBox="1"/>
        </xdr:nvSpPr>
        <xdr:spPr>
          <a:xfrm>
            <a:off x="262215" y="1747468"/>
            <a:ext cx="1551345" cy="774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更新対象設備の活動量（電力、燃料使用量）を把握しています</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oneCellAnchor>
    <xdr:from>
      <xdr:col>2</xdr:col>
      <xdr:colOff>559594</xdr:colOff>
      <xdr:row>7</xdr:row>
      <xdr:rowOff>80486</xdr:rowOff>
    </xdr:from>
    <xdr:ext cx="560410" cy="259045"/>
    <xdr:sp macro="" textlink="">
      <xdr:nvSpPr>
        <xdr:cNvPr id="14" name="テキスト ボックス 13">
          <a:extLst>
            <a:ext uri="{FF2B5EF4-FFF2-40B4-BE49-F238E27FC236}">
              <a16:creationId xmlns:a16="http://schemas.microsoft.com/office/drawing/2014/main" id="{098A3382-6BD3-4F04-898C-201A9F4A7C16}"/>
            </a:ext>
          </a:extLst>
        </xdr:cNvPr>
        <xdr:cNvSpPr txBox="1"/>
      </xdr:nvSpPr>
      <xdr:spPr>
        <a:xfrm>
          <a:off x="1931194" y="1747361"/>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0</xdr:col>
      <xdr:colOff>199674</xdr:colOff>
      <xdr:row>10</xdr:row>
      <xdr:rowOff>65146</xdr:rowOff>
    </xdr:from>
    <xdr:ext cx="439864" cy="259045"/>
    <xdr:sp macro="" textlink="">
      <xdr:nvSpPr>
        <xdr:cNvPr id="15" name="テキスト ボックス 14">
          <a:extLst>
            <a:ext uri="{FF2B5EF4-FFF2-40B4-BE49-F238E27FC236}">
              <a16:creationId xmlns:a16="http://schemas.microsoft.com/office/drawing/2014/main" id="{4C9A638A-01CE-46FA-B24D-487B4F63C7C5}"/>
            </a:ext>
          </a:extLst>
        </xdr:cNvPr>
        <xdr:cNvSpPr txBox="1"/>
      </xdr:nvSpPr>
      <xdr:spPr>
        <a:xfrm>
          <a:off x="199674" y="2446396"/>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4</xdr:col>
      <xdr:colOff>31383</xdr:colOff>
      <xdr:row>9</xdr:row>
      <xdr:rowOff>88959</xdr:rowOff>
    </xdr:from>
    <xdr:ext cx="439864" cy="259045"/>
    <xdr:sp macro="" textlink="">
      <xdr:nvSpPr>
        <xdr:cNvPr id="16" name="テキスト ボックス 15">
          <a:extLst>
            <a:ext uri="{FF2B5EF4-FFF2-40B4-BE49-F238E27FC236}">
              <a16:creationId xmlns:a16="http://schemas.microsoft.com/office/drawing/2014/main" id="{A2E1CE7B-B55E-4296-B52A-B3B769C116CC}"/>
            </a:ext>
          </a:extLst>
        </xdr:cNvPr>
        <xdr:cNvSpPr txBox="1"/>
      </xdr:nvSpPr>
      <xdr:spPr>
        <a:xfrm>
          <a:off x="2774583" y="2232084"/>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5</xdr:col>
      <xdr:colOff>96503</xdr:colOff>
      <xdr:row>21</xdr:row>
      <xdr:rowOff>54095</xdr:rowOff>
    </xdr:from>
    <xdr:to>
      <xdr:col>8</xdr:col>
      <xdr:colOff>553703</xdr:colOff>
      <xdr:row>23</xdr:row>
      <xdr:rowOff>188046</xdr:rowOff>
    </xdr:to>
    <xdr:sp macro="" textlink="">
      <xdr:nvSpPr>
        <xdr:cNvPr id="17" name="四角形: 対角を丸める 16">
          <a:extLst>
            <a:ext uri="{FF2B5EF4-FFF2-40B4-BE49-F238E27FC236}">
              <a16:creationId xmlns:a16="http://schemas.microsoft.com/office/drawing/2014/main" id="{3DD1278F-ACB9-4837-A5C7-1A4BAE514F7A}"/>
            </a:ext>
          </a:extLst>
        </xdr:cNvPr>
        <xdr:cNvSpPr/>
      </xdr:nvSpPr>
      <xdr:spPr>
        <a:xfrm>
          <a:off x="3525503" y="5054720"/>
          <a:ext cx="2514600" cy="610201"/>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cap="none" spc="0" baseline="0">
              <a:ln w="0"/>
              <a:solidFill>
                <a:schemeClr val="tx1"/>
              </a:solidFill>
              <a:effectLst/>
              <a:latin typeface="ＭＳ Ｐゴシック" panose="020B0600070205080204" pitchFamily="50" charset="-128"/>
              <a:ea typeface="ＭＳ Ｐゴシック" panose="020B0600070205080204" pitchFamily="50" charset="-128"/>
            </a:rPr>
            <a:t>CO</a:t>
          </a:r>
          <a:r>
            <a:rPr kumimoji="1" lang="en-US" altLang="ja-JP" sz="1200" b="0" cap="none" spc="0" baseline="-25000">
              <a:ln w="0"/>
              <a:solidFill>
                <a:schemeClr val="tx1"/>
              </a:solidFill>
              <a:effectLst/>
              <a:latin typeface="ＭＳ Ｐゴシック" panose="020B0600070205080204" pitchFamily="50" charset="-128"/>
              <a:ea typeface="ＭＳ Ｐゴシック" panose="020B0600070205080204" pitchFamily="50" charset="-128"/>
            </a:rPr>
            <a:t>2</a:t>
          </a:r>
          <a:r>
            <a:rPr kumimoji="1" lang="ja-JP" altLang="en-US" sz="1200" b="0" cap="none" spc="0" baseline="0">
              <a:ln w="0"/>
              <a:solidFill>
                <a:schemeClr val="tx1"/>
              </a:solidFill>
              <a:effectLst/>
              <a:latin typeface="ＭＳ Ｐゴシック" panose="020B0600070205080204" pitchFamily="50" charset="-128"/>
              <a:ea typeface="ＭＳ Ｐゴシック" panose="020B0600070205080204" pitchFamily="50" charset="-128"/>
            </a:rPr>
            <a:t>削減効果の算定ツール（電動式空調設備）を利用できます！</a:t>
          </a:r>
          <a:endParaRPr kumimoji="1" lang="en-US" altLang="ja-JP" sz="12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xdr:col>
      <xdr:colOff>690086</xdr:colOff>
      <xdr:row>7</xdr:row>
      <xdr:rowOff>77628</xdr:rowOff>
    </xdr:from>
    <xdr:ext cx="560410" cy="259045"/>
    <xdr:sp macro="" textlink="">
      <xdr:nvSpPr>
        <xdr:cNvPr id="18" name="テキスト ボックス 17">
          <a:extLst>
            <a:ext uri="{FF2B5EF4-FFF2-40B4-BE49-F238E27FC236}">
              <a16:creationId xmlns:a16="http://schemas.microsoft.com/office/drawing/2014/main" id="{157D34A3-7B17-4C74-9193-C4F20AA76FD1}"/>
            </a:ext>
          </a:extLst>
        </xdr:cNvPr>
        <xdr:cNvSpPr txBox="1"/>
      </xdr:nvSpPr>
      <xdr:spPr>
        <a:xfrm>
          <a:off x="4804886" y="1744503"/>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twoCellAnchor>
    <xdr:from>
      <xdr:col>0</xdr:col>
      <xdr:colOff>190751</xdr:colOff>
      <xdr:row>21</xdr:row>
      <xdr:rowOff>54095</xdr:rowOff>
    </xdr:from>
    <xdr:to>
      <xdr:col>3</xdr:col>
      <xdr:colOff>644894</xdr:colOff>
      <xdr:row>23</xdr:row>
      <xdr:rowOff>180425</xdr:rowOff>
    </xdr:to>
    <xdr:sp macro="" textlink="">
      <xdr:nvSpPr>
        <xdr:cNvPr id="19" name="四角形: 対角を丸める 18">
          <a:extLst>
            <a:ext uri="{FF2B5EF4-FFF2-40B4-BE49-F238E27FC236}">
              <a16:creationId xmlns:a16="http://schemas.microsoft.com/office/drawing/2014/main" id="{2775EC14-5753-411E-81B6-AB7E066DDE66}"/>
            </a:ext>
          </a:extLst>
        </xdr:cNvPr>
        <xdr:cNvSpPr/>
      </xdr:nvSpPr>
      <xdr:spPr>
        <a:xfrm>
          <a:off x="190751" y="5054720"/>
          <a:ext cx="2511543" cy="602580"/>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cap="none" spc="0" baseline="0">
              <a:ln w="0"/>
              <a:solidFill>
                <a:schemeClr val="tx1"/>
              </a:solidFill>
              <a:effectLst/>
              <a:latin typeface="ＭＳ Ｐゴシック" panose="020B0600070205080204" pitchFamily="50" charset="-128"/>
              <a:ea typeface="ＭＳ Ｐゴシック" panose="020B0600070205080204" pitchFamily="50" charset="-128"/>
            </a:rPr>
            <a:t>CO</a:t>
          </a:r>
          <a:r>
            <a:rPr kumimoji="1" lang="en-US" altLang="ja-JP" sz="1200" b="0" cap="none" spc="0" baseline="-25000">
              <a:ln w="0"/>
              <a:solidFill>
                <a:schemeClr val="tx1"/>
              </a:solidFill>
              <a:effectLst/>
              <a:latin typeface="ＭＳ Ｐゴシック" panose="020B0600070205080204" pitchFamily="50" charset="-128"/>
              <a:ea typeface="ＭＳ Ｐゴシック" panose="020B0600070205080204" pitchFamily="50" charset="-128"/>
            </a:rPr>
            <a:t>2</a:t>
          </a:r>
          <a:r>
            <a:rPr kumimoji="1" lang="ja-JP" altLang="en-US" sz="1200" b="0" cap="none" spc="0" baseline="0">
              <a:ln w="0"/>
              <a:solidFill>
                <a:schemeClr val="tx1"/>
              </a:solidFill>
              <a:effectLst/>
              <a:latin typeface="ＭＳ Ｐゴシック" panose="020B0600070205080204" pitchFamily="50" charset="-128"/>
              <a:ea typeface="ＭＳ Ｐゴシック" panose="020B0600070205080204" pitchFamily="50" charset="-128"/>
            </a:rPr>
            <a:t>削減効果の算定ツール（燃焼式空調設備）を利用できます！</a:t>
          </a:r>
          <a:endParaRPr kumimoji="1" lang="en-US" altLang="ja-JP" sz="1200" b="1"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16</xdr:col>
      <xdr:colOff>426720</xdr:colOff>
      <xdr:row>36</xdr:row>
      <xdr:rowOff>144780</xdr:rowOff>
    </xdr:from>
    <xdr:ext cx="748923" cy="328423"/>
    <xdr:sp macro="" textlink="">
      <xdr:nvSpPr>
        <xdr:cNvPr id="20" name="テキスト ボックス 19">
          <a:extLst>
            <a:ext uri="{FF2B5EF4-FFF2-40B4-BE49-F238E27FC236}">
              <a16:creationId xmlns:a16="http://schemas.microsoft.com/office/drawing/2014/main" id="{0A5685AE-415D-40BF-BF6E-74D00A39AA59}"/>
            </a:ext>
          </a:extLst>
        </xdr:cNvPr>
        <xdr:cNvSpPr txBox="1"/>
      </xdr:nvSpPr>
      <xdr:spPr>
        <a:xfrm>
          <a:off x="11399520" y="8726805"/>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kern="1200"/>
            <a:t>　　　　</a:t>
          </a:r>
        </a:p>
      </xdr:txBody>
    </xdr:sp>
    <xdr:clientData/>
  </xdr:oneCellAnchor>
  <xdr:twoCellAnchor>
    <xdr:from>
      <xdr:col>3</xdr:col>
      <xdr:colOff>411480</xdr:colOff>
      <xdr:row>7</xdr:row>
      <xdr:rowOff>95592</xdr:rowOff>
    </xdr:from>
    <xdr:to>
      <xdr:col>7</xdr:col>
      <xdr:colOff>30480</xdr:colOff>
      <xdr:row>9</xdr:row>
      <xdr:rowOff>100463</xdr:rowOff>
    </xdr:to>
    <xdr:grpSp>
      <xdr:nvGrpSpPr>
        <xdr:cNvPr id="21" name="グループ化 20">
          <a:extLst>
            <a:ext uri="{FF2B5EF4-FFF2-40B4-BE49-F238E27FC236}">
              <a16:creationId xmlns:a16="http://schemas.microsoft.com/office/drawing/2014/main" id="{BF13D9D3-EDC9-4F1C-B867-3817FAC7192B}"/>
            </a:ext>
          </a:extLst>
        </xdr:cNvPr>
        <xdr:cNvGrpSpPr/>
      </xdr:nvGrpSpPr>
      <xdr:grpSpPr>
        <a:xfrm>
          <a:off x="2468880" y="1762467"/>
          <a:ext cx="2362200" cy="481121"/>
          <a:chOff x="9667875" y="2857842"/>
          <a:chExt cx="2147887" cy="481121"/>
        </a:xfrm>
      </xdr:grpSpPr>
      <xdr:sp macro="" textlink="">
        <xdr:nvSpPr>
          <xdr:cNvPr id="22" name="フローチャート: 準備 21">
            <a:extLst>
              <a:ext uri="{FF2B5EF4-FFF2-40B4-BE49-F238E27FC236}">
                <a16:creationId xmlns:a16="http://schemas.microsoft.com/office/drawing/2014/main" id="{C470B536-DC8F-5D1F-FDA8-15D59F619D12}"/>
              </a:ext>
            </a:extLst>
          </xdr:cNvPr>
          <xdr:cNvSpPr/>
        </xdr:nvSpPr>
        <xdr:spPr>
          <a:xfrm>
            <a:off x="9667875" y="2857842"/>
            <a:ext cx="2147887" cy="481121"/>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sp macro="" textlink="">
        <xdr:nvSpPr>
          <xdr:cNvPr id="23" name="テキスト ボックス 22">
            <a:extLst>
              <a:ext uri="{FF2B5EF4-FFF2-40B4-BE49-F238E27FC236}">
                <a16:creationId xmlns:a16="http://schemas.microsoft.com/office/drawing/2014/main" id="{A7F4268D-4D33-EC31-3551-1F14608837D7}"/>
              </a:ext>
            </a:extLst>
          </xdr:cNvPr>
          <xdr:cNvSpPr txBox="1"/>
        </xdr:nvSpPr>
        <xdr:spPr>
          <a:xfrm>
            <a:off x="9948404" y="2940844"/>
            <a:ext cx="1743533" cy="32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活動量を推定しますか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0</xdr:col>
      <xdr:colOff>43239</xdr:colOff>
      <xdr:row>16</xdr:row>
      <xdr:rowOff>219669</xdr:rowOff>
    </xdr:from>
    <xdr:to>
      <xdr:col>3</xdr:col>
      <xdr:colOff>160866</xdr:colOff>
      <xdr:row>19</xdr:row>
      <xdr:rowOff>70941</xdr:rowOff>
    </xdr:to>
    <xdr:grpSp>
      <xdr:nvGrpSpPr>
        <xdr:cNvPr id="24" name="グループ化 23">
          <a:extLst>
            <a:ext uri="{FF2B5EF4-FFF2-40B4-BE49-F238E27FC236}">
              <a16:creationId xmlns:a16="http://schemas.microsoft.com/office/drawing/2014/main" id="{3CB18459-AB1E-49E1-AFC2-DA3B5B6D04C7}"/>
            </a:ext>
          </a:extLst>
        </xdr:cNvPr>
        <xdr:cNvGrpSpPr/>
      </xdr:nvGrpSpPr>
      <xdr:grpSpPr>
        <a:xfrm>
          <a:off x="43239" y="4029669"/>
          <a:ext cx="2175027" cy="565647"/>
          <a:chOff x="83344" y="3247616"/>
          <a:chExt cx="2162995" cy="573167"/>
        </a:xfrm>
      </xdr:grpSpPr>
      <xdr:sp macro="" textlink="">
        <xdr:nvSpPr>
          <xdr:cNvPr id="25" name="フローチャート: 準備 24">
            <a:extLst>
              <a:ext uri="{FF2B5EF4-FFF2-40B4-BE49-F238E27FC236}">
                <a16:creationId xmlns:a16="http://schemas.microsoft.com/office/drawing/2014/main" id="{C5658151-4879-BCA6-A754-C3D53CF4C425}"/>
              </a:ext>
            </a:extLst>
          </xdr:cNvPr>
          <xdr:cNvSpPr/>
        </xdr:nvSpPr>
        <xdr:spPr>
          <a:xfrm>
            <a:off x="83344" y="3247616"/>
            <a:ext cx="2121567" cy="486134"/>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sp macro="" textlink="">
        <xdr:nvSpPr>
          <xdr:cNvPr id="26" name="テキスト ボックス 25">
            <a:extLst>
              <a:ext uri="{FF2B5EF4-FFF2-40B4-BE49-F238E27FC236}">
                <a16:creationId xmlns:a16="http://schemas.microsoft.com/office/drawing/2014/main" id="{08F09D79-C751-5C7D-D980-2AF1B118FCFB}"/>
              </a:ext>
            </a:extLst>
          </xdr:cNvPr>
          <xdr:cNvSpPr txBox="1"/>
        </xdr:nvSpPr>
        <xdr:spPr>
          <a:xfrm>
            <a:off x="435310" y="3259180"/>
            <a:ext cx="1811029" cy="5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燃料（ガス等）を使用</a:t>
            </a:r>
            <a:endParaRPr kumimoji="1" lang="en-US"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する設備</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3</xdr:col>
      <xdr:colOff>449580</xdr:colOff>
      <xdr:row>10</xdr:row>
      <xdr:rowOff>170446</xdr:rowOff>
    </xdr:from>
    <xdr:to>
      <xdr:col>6</xdr:col>
      <xdr:colOff>662940</xdr:colOff>
      <xdr:row>12</xdr:row>
      <xdr:rowOff>175260</xdr:rowOff>
    </xdr:to>
    <xdr:sp macro="" textlink="">
      <xdr:nvSpPr>
        <xdr:cNvPr id="27" name="フローチャート: 準備 26">
          <a:extLst>
            <a:ext uri="{FF2B5EF4-FFF2-40B4-BE49-F238E27FC236}">
              <a16:creationId xmlns:a16="http://schemas.microsoft.com/office/drawing/2014/main" id="{7144BEE0-B2A0-41BA-8006-2A92072B5D57}"/>
            </a:ext>
          </a:extLst>
        </xdr:cNvPr>
        <xdr:cNvSpPr/>
      </xdr:nvSpPr>
      <xdr:spPr>
        <a:xfrm>
          <a:off x="2461260" y="2456446"/>
          <a:ext cx="2225040" cy="462014"/>
        </a:xfrm>
        <a:prstGeom prst="flowChartPreparation">
          <a:avLst/>
        </a:prstGeom>
        <a:solidFill>
          <a:srgbClr val="CCE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56662</xdr:colOff>
      <xdr:row>10</xdr:row>
      <xdr:rowOff>173622</xdr:rowOff>
    </xdr:from>
    <xdr:to>
      <xdr:col>6</xdr:col>
      <xdr:colOff>551447</xdr:colOff>
      <xdr:row>12</xdr:row>
      <xdr:rowOff>240630</xdr:rowOff>
    </xdr:to>
    <xdr:sp macro="" textlink="">
      <xdr:nvSpPr>
        <xdr:cNvPr id="28" name="テキスト ボックス 27">
          <a:extLst>
            <a:ext uri="{FF2B5EF4-FFF2-40B4-BE49-F238E27FC236}">
              <a16:creationId xmlns:a16="http://schemas.microsoft.com/office/drawing/2014/main" id="{103D7074-8B58-4D53-A935-2B54792C6791}"/>
            </a:ext>
          </a:extLst>
        </xdr:cNvPr>
        <xdr:cNvSpPr txBox="1"/>
      </xdr:nvSpPr>
      <xdr:spPr>
        <a:xfrm>
          <a:off x="2799862" y="2554872"/>
          <a:ext cx="1866385" cy="543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活動量算定ツールを用いて推定してください。</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643339</xdr:colOff>
      <xdr:row>15</xdr:row>
      <xdr:rowOff>80210</xdr:rowOff>
    </xdr:from>
    <xdr:to>
      <xdr:col>4</xdr:col>
      <xdr:colOff>472181</xdr:colOff>
      <xdr:row>15</xdr:row>
      <xdr:rowOff>80210</xdr:rowOff>
    </xdr:to>
    <xdr:cxnSp macro="">
      <xdr:nvCxnSpPr>
        <xdr:cNvPr id="29" name="直線矢印コネクタ 28">
          <a:extLst>
            <a:ext uri="{FF2B5EF4-FFF2-40B4-BE49-F238E27FC236}">
              <a16:creationId xmlns:a16="http://schemas.microsoft.com/office/drawing/2014/main" id="{3704DD72-A1DF-44DD-8E63-125DAA976D59}"/>
            </a:ext>
          </a:extLst>
        </xdr:cNvPr>
        <xdr:cNvCxnSpPr/>
      </xdr:nvCxnSpPr>
      <xdr:spPr>
        <a:xfrm flipV="1">
          <a:off x="643339" y="3652085"/>
          <a:ext cx="2572042" cy="0"/>
        </a:xfrm>
        <a:prstGeom prst="straightConnector1">
          <a:avLst/>
        </a:prstGeom>
        <a:ln w="63500">
          <a:solidFill>
            <a:schemeClr val="bg2">
              <a:lumMod val="50000"/>
            </a:schemeClr>
          </a:solidFill>
          <a:prstDash val="solid"/>
          <a:headEnd type="triangle"/>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190500</xdr:colOff>
      <xdr:row>18</xdr:row>
      <xdr:rowOff>210553</xdr:rowOff>
    </xdr:from>
    <xdr:ext cx="439864" cy="259045"/>
    <xdr:sp macro="" textlink="">
      <xdr:nvSpPr>
        <xdr:cNvPr id="30" name="テキスト ボックス 29">
          <a:extLst>
            <a:ext uri="{FF2B5EF4-FFF2-40B4-BE49-F238E27FC236}">
              <a16:creationId xmlns:a16="http://schemas.microsoft.com/office/drawing/2014/main" id="{F3834C39-A0CC-4B6A-A9EF-5880364EABBF}"/>
            </a:ext>
          </a:extLst>
        </xdr:cNvPr>
        <xdr:cNvSpPr txBox="1"/>
      </xdr:nvSpPr>
      <xdr:spPr>
        <a:xfrm>
          <a:off x="190500" y="449680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8</xdr:col>
      <xdr:colOff>240632</xdr:colOff>
      <xdr:row>27</xdr:row>
      <xdr:rowOff>180476</xdr:rowOff>
    </xdr:from>
    <xdr:to>
      <xdr:col>12</xdr:col>
      <xdr:colOff>556861</xdr:colOff>
      <xdr:row>29</xdr:row>
      <xdr:rowOff>180476</xdr:rowOff>
    </xdr:to>
    <xdr:sp macro="" textlink="">
      <xdr:nvSpPr>
        <xdr:cNvPr id="31" name="四角形: 対角を丸める 30">
          <a:extLst>
            <a:ext uri="{FF2B5EF4-FFF2-40B4-BE49-F238E27FC236}">
              <a16:creationId xmlns:a16="http://schemas.microsoft.com/office/drawing/2014/main" id="{22069EDC-A86F-4E6A-8CBE-AF11431B029E}"/>
            </a:ext>
          </a:extLst>
        </xdr:cNvPr>
        <xdr:cNvSpPr/>
      </xdr:nvSpPr>
      <xdr:spPr>
        <a:xfrm>
          <a:off x="5727032" y="6609851"/>
          <a:ext cx="3059429" cy="476250"/>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ＭＳ Ｐゴシック" panose="020B0600070205080204" pitchFamily="50" charset="-128"/>
              <a:ea typeface="ＭＳ Ｐゴシック" panose="020B0600070205080204" pitchFamily="50" charset="-128"/>
            </a:rPr>
            <a:t>ガイドライン等を参照し計算してください</a:t>
          </a:r>
          <a:endParaRPr kumimoji="1" lang="en-US" altLang="ja-JP" sz="12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90238</xdr:colOff>
      <xdr:row>17</xdr:row>
      <xdr:rowOff>230605</xdr:rowOff>
    </xdr:from>
    <xdr:to>
      <xdr:col>5</xdr:col>
      <xdr:colOff>670659</xdr:colOff>
      <xdr:row>17</xdr:row>
      <xdr:rowOff>230605</xdr:rowOff>
    </xdr:to>
    <xdr:cxnSp macro="">
      <xdr:nvCxnSpPr>
        <xdr:cNvPr id="32" name="直線矢印コネクタ 31">
          <a:extLst>
            <a:ext uri="{FF2B5EF4-FFF2-40B4-BE49-F238E27FC236}">
              <a16:creationId xmlns:a16="http://schemas.microsoft.com/office/drawing/2014/main" id="{2EF0B220-2336-4EB0-887A-01D61995AAE1}"/>
            </a:ext>
          </a:extLst>
        </xdr:cNvPr>
        <xdr:cNvCxnSpPr/>
      </xdr:nvCxnSpPr>
      <xdr:spPr>
        <a:xfrm>
          <a:off x="2147638" y="4278730"/>
          <a:ext cx="1952021"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671741</xdr:colOff>
      <xdr:row>17</xdr:row>
      <xdr:rowOff>235369</xdr:rowOff>
    </xdr:from>
    <xdr:to>
      <xdr:col>5</xdr:col>
      <xdr:colOff>671741</xdr:colOff>
      <xdr:row>21</xdr:row>
      <xdr:rowOff>64843</xdr:rowOff>
    </xdr:to>
    <xdr:cxnSp macro="">
      <xdr:nvCxnSpPr>
        <xdr:cNvPr id="33" name="直線矢印コネクタ 32">
          <a:extLst>
            <a:ext uri="{FF2B5EF4-FFF2-40B4-BE49-F238E27FC236}">
              <a16:creationId xmlns:a16="http://schemas.microsoft.com/office/drawing/2014/main" id="{60BA44C0-3F9F-4388-9A9A-32AD96A8C732}"/>
            </a:ext>
          </a:extLst>
        </xdr:cNvPr>
        <xdr:cNvCxnSpPr/>
      </xdr:nvCxnSpPr>
      <xdr:spPr>
        <a:xfrm>
          <a:off x="4100741" y="4283494"/>
          <a:ext cx="0" cy="781974"/>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57150</xdr:colOff>
      <xdr:row>16</xdr:row>
      <xdr:rowOff>180975</xdr:rowOff>
    </xdr:from>
    <xdr:ext cx="560410" cy="259045"/>
    <xdr:sp macro="" textlink="">
      <xdr:nvSpPr>
        <xdr:cNvPr id="34" name="テキスト ボックス 33">
          <a:extLst>
            <a:ext uri="{FF2B5EF4-FFF2-40B4-BE49-F238E27FC236}">
              <a16:creationId xmlns:a16="http://schemas.microsoft.com/office/drawing/2014/main" id="{EB3544E2-D8C7-4807-8E1B-41D20CF73055}"/>
            </a:ext>
          </a:extLst>
        </xdr:cNvPr>
        <xdr:cNvSpPr txBox="1"/>
      </xdr:nvSpPr>
      <xdr:spPr>
        <a:xfrm>
          <a:off x="2114550" y="399097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104775</xdr:rowOff>
    </xdr:from>
    <xdr:to>
      <xdr:col>12</xdr:col>
      <xdr:colOff>619125</xdr:colOff>
      <xdr:row>2</xdr:row>
      <xdr:rowOff>152401</xdr:rowOff>
    </xdr:to>
    <xdr:sp macro="" textlink="">
      <xdr:nvSpPr>
        <xdr:cNvPr id="2" name="四角形: 角を丸くする 1">
          <a:extLst>
            <a:ext uri="{FF2B5EF4-FFF2-40B4-BE49-F238E27FC236}">
              <a16:creationId xmlns:a16="http://schemas.microsoft.com/office/drawing/2014/main" id="{25495010-04C3-4C6D-A58A-75B70E398707}"/>
            </a:ext>
          </a:extLst>
        </xdr:cNvPr>
        <xdr:cNvSpPr/>
      </xdr:nvSpPr>
      <xdr:spPr>
        <a:xfrm>
          <a:off x="66675" y="104775"/>
          <a:ext cx="8782050" cy="523876"/>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117271</xdr:colOff>
      <xdr:row>9</xdr:row>
      <xdr:rowOff>175260</xdr:rowOff>
    </xdr:from>
    <xdr:to>
      <xdr:col>11</xdr:col>
      <xdr:colOff>142219</xdr:colOff>
      <xdr:row>28</xdr:row>
      <xdr:rowOff>167640</xdr:rowOff>
    </xdr:to>
    <xdr:cxnSp macro="">
      <xdr:nvCxnSpPr>
        <xdr:cNvPr id="3" name="直線矢印コネクタ 2">
          <a:extLst>
            <a:ext uri="{FF2B5EF4-FFF2-40B4-BE49-F238E27FC236}">
              <a16:creationId xmlns:a16="http://schemas.microsoft.com/office/drawing/2014/main" id="{091989AD-7D1B-4892-8DA9-8417522AF698}"/>
            </a:ext>
          </a:extLst>
        </xdr:cNvPr>
        <xdr:cNvCxnSpPr/>
      </xdr:nvCxnSpPr>
      <xdr:spPr>
        <a:xfrm flipH="1" flipV="1">
          <a:off x="7661071" y="2318385"/>
          <a:ext cx="24948" cy="4516755"/>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485775</xdr:colOff>
      <xdr:row>43</xdr:row>
      <xdr:rowOff>74295</xdr:rowOff>
    </xdr:from>
    <xdr:to>
      <xdr:col>12</xdr:col>
      <xdr:colOff>257175</xdr:colOff>
      <xdr:row>43</xdr:row>
      <xdr:rowOff>74295</xdr:rowOff>
    </xdr:to>
    <xdr:cxnSp macro="">
      <xdr:nvCxnSpPr>
        <xdr:cNvPr id="4" name="直線矢印コネクタ 3">
          <a:extLst>
            <a:ext uri="{FF2B5EF4-FFF2-40B4-BE49-F238E27FC236}">
              <a16:creationId xmlns:a16="http://schemas.microsoft.com/office/drawing/2014/main" id="{FFFD185A-9D73-4B55-8F7E-FED4663A063D}"/>
            </a:ext>
          </a:extLst>
        </xdr:cNvPr>
        <xdr:cNvCxnSpPr/>
      </xdr:nvCxnSpPr>
      <xdr:spPr>
        <a:xfrm>
          <a:off x="7343775" y="10313670"/>
          <a:ext cx="11430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381000</xdr:colOff>
      <xdr:row>24</xdr:row>
      <xdr:rowOff>160020</xdr:rowOff>
    </xdr:from>
    <xdr:to>
      <xdr:col>12</xdr:col>
      <xdr:colOff>238125</xdr:colOff>
      <xdr:row>30</xdr:row>
      <xdr:rowOff>17145</xdr:rowOff>
    </xdr:to>
    <xdr:grpSp>
      <xdr:nvGrpSpPr>
        <xdr:cNvPr id="5" name="グループ化 4">
          <a:extLst>
            <a:ext uri="{FF2B5EF4-FFF2-40B4-BE49-F238E27FC236}">
              <a16:creationId xmlns:a16="http://schemas.microsoft.com/office/drawing/2014/main" id="{2F59A1F0-DD21-4EAE-90F4-E0A8E3409852}"/>
            </a:ext>
          </a:extLst>
        </xdr:cNvPr>
        <xdr:cNvGrpSpPr/>
      </xdr:nvGrpSpPr>
      <xdr:grpSpPr>
        <a:xfrm>
          <a:off x="7924800" y="5875020"/>
          <a:ext cx="542925" cy="1285875"/>
          <a:chOff x="7924800" y="5229225"/>
          <a:chExt cx="542925" cy="1285875"/>
        </a:xfrm>
      </xdr:grpSpPr>
      <xdr:cxnSp macro="">
        <xdr:nvCxnSpPr>
          <xdr:cNvPr id="6" name="直線矢印コネクタ 5">
            <a:extLst>
              <a:ext uri="{FF2B5EF4-FFF2-40B4-BE49-F238E27FC236}">
                <a16:creationId xmlns:a16="http://schemas.microsoft.com/office/drawing/2014/main" id="{C079CBC7-1770-3EA4-88AC-59C3A54087B6}"/>
              </a:ext>
            </a:extLst>
          </xdr:cNvPr>
          <xdr:cNvCxnSpPr/>
        </xdr:nvCxnSpPr>
        <xdr:spPr>
          <a:xfrm flipH="1" flipV="1">
            <a:off x="7924800" y="5229225"/>
            <a:ext cx="7104" cy="1285875"/>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71D39F19-54B2-FC2A-91BD-74B4D13B87A2}"/>
              </a:ext>
            </a:extLst>
          </xdr:cNvPr>
          <xdr:cNvCxnSpPr/>
        </xdr:nvCxnSpPr>
        <xdr:spPr>
          <a:xfrm>
            <a:off x="7934325" y="6486525"/>
            <a:ext cx="5334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9</xdr:col>
      <xdr:colOff>409575</xdr:colOff>
      <xdr:row>32</xdr:row>
      <xdr:rowOff>5715</xdr:rowOff>
    </xdr:from>
    <xdr:to>
      <xdr:col>9</xdr:col>
      <xdr:colOff>419100</xdr:colOff>
      <xdr:row>34</xdr:row>
      <xdr:rowOff>148590</xdr:rowOff>
    </xdr:to>
    <xdr:cxnSp macro="">
      <xdr:nvCxnSpPr>
        <xdr:cNvPr id="8" name="直線矢印コネクタ 7">
          <a:extLst>
            <a:ext uri="{FF2B5EF4-FFF2-40B4-BE49-F238E27FC236}">
              <a16:creationId xmlns:a16="http://schemas.microsoft.com/office/drawing/2014/main" id="{AFAE7BD2-C43D-4EA4-B772-95FB922B2F9E}"/>
            </a:ext>
          </a:extLst>
        </xdr:cNvPr>
        <xdr:cNvCxnSpPr/>
      </xdr:nvCxnSpPr>
      <xdr:spPr>
        <a:xfrm>
          <a:off x="6581775" y="7625715"/>
          <a:ext cx="9525" cy="6191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342900</xdr:colOff>
      <xdr:row>31</xdr:row>
      <xdr:rowOff>66675</xdr:rowOff>
    </xdr:from>
    <xdr:to>
      <xdr:col>12</xdr:col>
      <xdr:colOff>247650</xdr:colOff>
      <xdr:row>31</xdr:row>
      <xdr:rowOff>66675</xdr:rowOff>
    </xdr:to>
    <xdr:cxnSp macro="">
      <xdr:nvCxnSpPr>
        <xdr:cNvPr id="9" name="直線矢印コネクタ 8">
          <a:extLst>
            <a:ext uri="{FF2B5EF4-FFF2-40B4-BE49-F238E27FC236}">
              <a16:creationId xmlns:a16="http://schemas.microsoft.com/office/drawing/2014/main" id="{0BEA0281-E238-47B5-ADCB-4F3A7325B72B}"/>
            </a:ext>
          </a:extLst>
        </xdr:cNvPr>
        <xdr:cNvCxnSpPr/>
      </xdr:nvCxnSpPr>
      <xdr:spPr>
        <a:xfrm>
          <a:off x="7200900" y="7448550"/>
          <a:ext cx="127635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257175</xdr:colOff>
      <xdr:row>31</xdr:row>
      <xdr:rowOff>66675</xdr:rowOff>
    </xdr:from>
    <xdr:to>
      <xdr:col>8</xdr:col>
      <xdr:colOff>161925</xdr:colOff>
      <xdr:row>31</xdr:row>
      <xdr:rowOff>66675</xdr:rowOff>
    </xdr:to>
    <xdr:cxnSp macro="">
      <xdr:nvCxnSpPr>
        <xdr:cNvPr id="10" name="直線矢印コネクタ 9">
          <a:extLst>
            <a:ext uri="{FF2B5EF4-FFF2-40B4-BE49-F238E27FC236}">
              <a16:creationId xmlns:a16="http://schemas.microsoft.com/office/drawing/2014/main" id="{A2D3C886-AE61-41FD-984A-44B3AEC08227}"/>
            </a:ext>
          </a:extLst>
        </xdr:cNvPr>
        <xdr:cNvCxnSpPr/>
      </xdr:nvCxnSpPr>
      <xdr:spPr>
        <a:xfrm>
          <a:off x="4371975" y="7448550"/>
          <a:ext cx="127635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219075</xdr:colOff>
      <xdr:row>31</xdr:row>
      <xdr:rowOff>66675</xdr:rowOff>
    </xdr:from>
    <xdr:to>
      <xdr:col>4</xdr:col>
      <xdr:colOff>123825</xdr:colOff>
      <xdr:row>31</xdr:row>
      <xdr:rowOff>66675</xdr:rowOff>
    </xdr:to>
    <xdr:cxnSp macro="">
      <xdr:nvCxnSpPr>
        <xdr:cNvPr id="11" name="直線矢印コネクタ 10">
          <a:extLst>
            <a:ext uri="{FF2B5EF4-FFF2-40B4-BE49-F238E27FC236}">
              <a16:creationId xmlns:a16="http://schemas.microsoft.com/office/drawing/2014/main" id="{DCE2B158-D7E9-42F5-8EB3-714C8FA60F16}"/>
            </a:ext>
          </a:extLst>
        </xdr:cNvPr>
        <xdr:cNvCxnSpPr/>
      </xdr:nvCxnSpPr>
      <xdr:spPr>
        <a:xfrm>
          <a:off x="1590675" y="7448550"/>
          <a:ext cx="127635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100965</xdr:colOff>
      <xdr:row>15</xdr:row>
      <xdr:rowOff>222885</xdr:rowOff>
    </xdr:from>
    <xdr:to>
      <xdr:col>9</xdr:col>
      <xdr:colOff>100965</xdr:colOff>
      <xdr:row>26</xdr:row>
      <xdr:rowOff>99060</xdr:rowOff>
    </xdr:to>
    <xdr:cxnSp macro="">
      <xdr:nvCxnSpPr>
        <xdr:cNvPr id="12" name="直線矢印コネクタ 11">
          <a:extLst>
            <a:ext uri="{FF2B5EF4-FFF2-40B4-BE49-F238E27FC236}">
              <a16:creationId xmlns:a16="http://schemas.microsoft.com/office/drawing/2014/main" id="{D5CDF62C-6F01-4269-86C7-8477FF82EB35}"/>
            </a:ext>
          </a:extLst>
        </xdr:cNvPr>
        <xdr:cNvCxnSpPr/>
      </xdr:nvCxnSpPr>
      <xdr:spPr>
        <a:xfrm>
          <a:off x="6273165" y="3794760"/>
          <a:ext cx="0" cy="249555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15241</xdr:colOff>
      <xdr:row>16</xdr:row>
      <xdr:rowOff>180023</xdr:rowOff>
    </xdr:from>
    <xdr:to>
      <xdr:col>8</xdr:col>
      <xdr:colOff>624841</xdr:colOff>
      <xdr:row>25</xdr:row>
      <xdr:rowOff>118109</xdr:rowOff>
    </xdr:to>
    <xdr:grpSp>
      <xdr:nvGrpSpPr>
        <xdr:cNvPr id="13" name="グループ化 12">
          <a:extLst>
            <a:ext uri="{FF2B5EF4-FFF2-40B4-BE49-F238E27FC236}">
              <a16:creationId xmlns:a16="http://schemas.microsoft.com/office/drawing/2014/main" id="{F8472CE2-2E74-496F-8FAF-14AEBB9B064D}"/>
            </a:ext>
          </a:extLst>
        </xdr:cNvPr>
        <xdr:cNvGrpSpPr/>
      </xdr:nvGrpSpPr>
      <xdr:grpSpPr>
        <a:xfrm>
          <a:off x="701041" y="3990023"/>
          <a:ext cx="5410200" cy="2081211"/>
          <a:chOff x="714375" y="4186239"/>
          <a:chExt cx="3609975" cy="1033462"/>
        </a:xfrm>
      </xdr:grpSpPr>
      <xdr:cxnSp macro="">
        <xdr:nvCxnSpPr>
          <xdr:cNvPr id="14" name="直線矢印コネクタ 13">
            <a:extLst>
              <a:ext uri="{FF2B5EF4-FFF2-40B4-BE49-F238E27FC236}">
                <a16:creationId xmlns:a16="http://schemas.microsoft.com/office/drawing/2014/main" id="{B95E4DDA-426B-D8C2-609B-4F59CC2646D0}"/>
              </a:ext>
            </a:extLst>
          </xdr:cNvPr>
          <xdr:cNvCxnSpPr/>
        </xdr:nvCxnSpPr>
        <xdr:spPr>
          <a:xfrm rot="5400000">
            <a:off x="3792235" y="4702970"/>
            <a:ext cx="1033462"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886DDCB0-E687-9730-0DE7-6A677D0CDF48}"/>
              </a:ext>
            </a:extLst>
          </xdr:cNvPr>
          <xdr:cNvCxnSpPr/>
        </xdr:nvCxnSpPr>
        <xdr:spPr>
          <a:xfrm flipH="1">
            <a:off x="714375" y="5208089"/>
            <a:ext cx="360997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9</xdr:col>
      <xdr:colOff>0</xdr:colOff>
      <xdr:row>9</xdr:row>
      <xdr:rowOff>3810</xdr:rowOff>
    </xdr:from>
    <xdr:to>
      <xdr:col>9</xdr:col>
      <xdr:colOff>0</xdr:colOff>
      <xdr:row>14</xdr:row>
      <xdr:rowOff>80010</xdr:rowOff>
    </xdr:to>
    <xdr:cxnSp macro="">
      <xdr:nvCxnSpPr>
        <xdr:cNvPr id="16" name="直線矢印コネクタ 15">
          <a:extLst>
            <a:ext uri="{FF2B5EF4-FFF2-40B4-BE49-F238E27FC236}">
              <a16:creationId xmlns:a16="http://schemas.microsoft.com/office/drawing/2014/main" id="{0EC5DFD9-14FD-4283-90E2-83E99E933719}"/>
            </a:ext>
          </a:extLst>
        </xdr:cNvPr>
        <xdr:cNvCxnSpPr/>
      </xdr:nvCxnSpPr>
      <xdr:spPr>
        <a:xfrm>
          <a:off x="6172200" y="2146935"/>
          <a:ext cx="0" cy="12668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xdr:colOff>
      <xdr:row>17</xdr:row>
      <xdr:rowOff>160974</xdr:rowOff>
    </xdr:from>
    <xdr:to>
      <xdr:col>6</xdr:col>
      <xdr:colOff>137160</xdr:colOff>
      <xdr:row>22</xdr:row>
      <xdr:rowOff>13336</xdr:rowOff>
    </xdr:to>
    <xdr:grpSp>
      <xdr:nvGrpSpPr>
        <xdr:cNvPr id="17" name="グループ化 16">
          <a:extLst>
            <a:ext uri="{FF2B5EF4-FFF2-40B4-BE49-F238E27FC236}">
              <a16:creationId xmlns:a16="http://schemas.microsoft.com/office/drawing/2014/main" id="{DB000C17-EBDB-495B-9017-AD4942631BC4}"/>
            </a:ext>
          </a:extLst>
        </xdr:cNvPr>
        <xdr:cNvGrpSpPr/>
      </xdr:nvGrpSpPr>
      <xdr:grpSpPr>
        <a:xfrm>
          <a:off x="691515" y="4209099"/>
          <a:ext cx="3560445" cy="1042987"/>
          <a:chOff x="714375" y="4186239"/>
          <a:chExt cx="3609975" cy="1033462"/>
        </a:xfrm>
      </xdr:grpSpPr>
      <xdr:cxnSp macro="">
        <xdr:nvCxnSpPr>
          <xdr:cNvPr id="18" name="直線矢印コネクタ 17">
            <a:extLst>
              <a:ext uri="{FF2B5EF4-FFF2-40B4-BE49-F238E27FC236}">
                <a16:creationId xmlns:a16="http://schemas.microsoft.com/office/drawing/2014/main" id="{B8702A52-2593-A6A7-4595-8C1A6DBAEB9A}"/>
              </a:ext>
            </a:extLst>
          </xdr:cNvPr>
          <xdr:cNvCxnSpPr/>
        </xdr:nvCxnSpPr>
        <xdr:spPr>
          <a:xfrm rot="5400000">
            <a:off x="3792235" y="4702970"/>
            <a:ext cx="1033462"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B3AB76CC-4759-7572-9F76-1265D066B0A1}"/>
              </a:ext>
            </a:extLst>
          </xdr:cNvPr>
          <xdr:cNvCxnSpPr/>
        </xdr:nvCxnSpPr>
        <xdr:spPr>
          <a:xfrm flipH="1">
            <a:off x="714375" y="5208089"/>
            <a:ext cx="360997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5</xdr:col>
      <xdr:colOff>409575</xdr:colOff>
      <xdr:row>32</xdr:row>
      <xdr:rowOff>5715</xdr:rowOff>
    </xdr:from>
    <xdr:to>
      <xdr:col>5</xdr:col>
      <xdr:colOff>419100</xdr:colOff>
      <xdr:row>34</xdr:row>
      <xdr:rowOff>148590</xdr:rowOff>
    </xdr:to>
    <xdr:cxnSp macro="">
      <xdr:nvCxnSpPr>
        <xdr:cNvPr id="20" name="直線矢印コネクタ 19">
          <a:extLst>
            <a:ext uri="{FF2B5EF4-FFF2-40B4-BE49-F238E27FC236}">
              <a16:creationId xmlns:a16="http://schemas.microsoft.com/office/drawing/2014/main" id="{ABD646D4-258B-46EB-A40F-3E1A0E01145A}"/>
            </a:ext>
          </a:extLst>
        </xdr:cNvPr>
        <xdr:cNvCxnSpPr/>
      </xdr:nvCxnSpPr>
      <xdr:spPr>
        <a:xfrm>
          <a:off x="3838575" y="7625715"/>
          <a:ext cx="9525" cy="6191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57150</xdr:colOff>
      <xdr:row>41</xdr:row>
      <xdr:rowOff>15240</xdr:rowOff>
    </xdr:from>
    <xdr:to>
      <xdr:col>10</xdr:col>
      <xdr:colOff>9525</xdr:colOff>
      <xdr:row>42</xdr:row>
      <xdr:rowOff>114300</xdr:rowOff>
    </xdr:to>
    <xdr:grpSp>
      <xdr:nvGrpSpPr>
        <xdr:cNvPr id="21" name="グループ化 20">
          <a:extLst>
            <a:ext uri="{FF2B5EF4-FFF2-40B4-BE49-F238E27FC236}">
              <a16:creationId xmlns:a16="http://schemas.microsoft.com/office/drawing/2014/main" id="{712828D8-79A8-48DA-A9F9-CB29FC46BF0A}"/>
            </a:ext>
          </a:extLst>
        </xdr:cNvPr>
        <xdr:cNvGrpSpPr/>
      </xdr:nvGrpSpPr>
      <xdr:grpSpPr>
        <a:xfrm>
          <a:off x="5543550" y="9778365"/>
          <a:ext cx="1323975" cy="337185"/>
          <a:chOff x="2105025" y="7591425"/>
          <a:chExt cx="1323975" cy="304800"/>
        </a:xfrm>
      </xdr:grpSpPr>
      <xdr:cxnSp macro="">
        <xdr:nvCxnSpPr>
          <xdr:cNvPr id="22" name="直線矢印コネクタ 21">
            <a:extLst>
              <a:ext uri="{FF2B5EF4-FFF2-40B4-BE49-F238E27FC236}">
                <a16:creationId xmlns:a16="http://schemas.microsoft.com/office/drawing/2014/main" id="{EE4120B0-306C-A390-F9E0-C0D6989FCFD2}"/>
              </a:ext>
            </a:extLst>
          </xdr:cNvPr>
          <xdr:cNvCxnSpPr/>
        </xdr:nvCxnSpPr>
        <xdr:spPr>
          <a:xfrm>
            <a:off x="2105025" y="7620001"/>
            <a:ext cx="1323975"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665D4AF7-0B3B-CF45-F923-6275D55660CE}"/>
              </a:ext>
            </a:extLst>
          </xdr:cNvPr>
          <xdr:cNvCxnSpPr/>
        </xdr:nvCxnSpPr>
        <xdr:spPr>
          <a:xfrm>
            <a:off x="3419475" y="7591425"/>
            <a:ext cx="0" cy="30480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xdr:col>
      <xdr:colOff>9525</xdr:colOff>
      <xdr:row>14</xdr:row>
      <xdr:rowOff>200025</xdr:rowOff>
    </xdr:from>
    <xdr:to>
      <xdr:col>4</xdr:col>
      <xdr:colOff>9525</xdr:colOff>
      <xdr:row>18</xdr:row>
      <xdr:rowOff>28575</xdr:rowOff>
    </xdr:to>
    <xdr:cxnSp macro="">
      <xdr:nvCxnSpPr>
        <xdr:cNvPr id="24" name="直線矢印コネクタ 23">
          <a:extLst>
            <a:ext uri="{FF2B5EF4-FFF2-40B4-BE49-F238E27FC236}">
              <a16:creationId xmlns:a16="http://schemas.microsoft.com/office/drawing/2014/main" id="{DE6AE574-AFD1-4785-962B-BD99154953E4}"/>
            </a:ext>
          </a:extLst>
        </xdr:cNvPr>
        <xdr:cNvCxnSpPr/>
      </xdr:nvCxnSpPr>
      <xdr:spPr>
        <a:xfrm>
          <a:off x="2752725" y="3533775"/>
          <a:ext cx="0" cy="78105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348615</xdr:colOff>
      <xdr:row>14</xdr:row>
      <xdr:rowOff>120015</xdr:rowOff>
    </xdr:from>
    <xdr:to>
      <xdr:col>6</xdr:col>
      <xdr:colOff>348615</xdr:colOff>
      <xdr:row>22</xdr:row>
      <xdr:rowOff>110490</xdr:rowOff>
    </xdr:to>
    <xdr:cxnSp macro="">
      <xdr:nvCxnSpPr>
        <xdr:cNvPr id="25" name="直線矢印コネクタ 24">
          <a:extLst>
            <a:ext uri="{FF2B5EF4-FFF2-40B4-BE49-F238E27FC236}">
              <a16:creationId xmlns:a16="http://schemas.microsoft.com/office/drawing/2014/main" id="{C208B1ED-33ED-4536-A8B3-37BCFD223508}"/>
            </a:ext>
          </a:extLst>
        </xdr:cNvPr>
        <xdr:cNvCxnSpPr/>
      </xdr:nvCxnSpPr>
      <xdr:spPr>
        <a:xfrm>
          <a:off x="4463415" y="3453765"/>
          <a:ext cx="0" cy="189547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238125</xdr:colOff>
      <xdr:row>8</xdr:row>
      <xdr:rowOff>217170</xdr:rowOff>
    </xdr:from>
    <xdr:to>
      <xdr:col>6</xdr:col>
      <xdr:colOff>238125</xdr:colOff>
      <xdr:row>14</xdr:row>
      <xdr:rowOff>64770</xdr:rowOff>
    </xdr:to>
    <xdr:cxnSp macro="">
      <xdr:nvCxnSpPr>
        <xdr:cNvPr id="26" name="直線矢印コネクタ 25">
          <a:extLst>
            <a:ext uri="{FF2B5EF4-FFF2-40B4-BE49-F238E27FC236}">
              <a16:creationId xmlns:a16="http://schemas.microsoft.com/office/drawing/2014/main" id="{C48FBC92-E36F-4318-B6A1-6891A4BF6169}"/>
            </a:ext>
          </a:extLst>
        </xdr:cNvPr>
        <xdr:cNvCxnSpPr/>
      </xdr:nvCxnSpPr>
      <xdr:spPr>
        <a:xfrm>
          <a:off x="4352925" y="2122170"/>
          <a:ext cx="0" cy="127635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114300</xdr:colOff>
      <xdr:row>38</xdr:row>
      <xdr:rowOff>198120</xdr:rowOff>
    </xdr:from>
    <xdr:to>
      <xdr:col>7</xdr:col>
      <xdr:colOff>66675</xdr:colOff>
      <xdr:row>40</xdr:row>
      <xdr:rowOff>68580</xdr:rowOff>
    </xdr:to>
    <xdr:grpSp>
      <xdr:nvGrpSpPr>
        <xdr:cNvPr id="27" name="グループ化 26">
          <a:extLst>
            <a:ext uri="{FF2B5EF4-FFF2-40B4-BE49-F238E27FC236}">
              <a16:creationId xmlns:a16="http://schemas.microsoft.com/office/drawing/2014/main" id="{EE6E3F90-FC7D-4436-A416-A3A606DCC487}"/>
            </a:ext>
          </a:extLst>
        </xdr:cNvPr>
        <xdr:cNvGrpSpPr/>
      </xdr:nvGrpSpPr>
      <xdr:grpSpPr>
        <a:xfrm>
          <a:off x="3543300" y="9246870"/>
          <a:ext cx="1323975" cy="346710"/>
          <a:chOff x="2105025" y="7591425"/>
          <a:chExt cx="1323975" cy="304800"/>
        </a:xfrm>
      </xdr:grpSpPr>
      <xdr:cxnSp macro="">
        <xdr:nvCxnSpPr>
          <xdr:cNvPr id="28" name="直線矢印コネクタ 27">
            <a:extLst>
              <a:ext uri="{FF2B5EF4-FFF2-40B4-BE49-F238E27FC236}">
                <a16:creationId xmlns:a16="http://schemas.microsoft.com/office/drawing/2014/main" id="{277D957E-BFEC-E9E4-A754-9F8AF050A2BC}"/>
              </a:ext>
            </a:extLst>
          </xdr:cNvPr>
          <xdr:cNvCxnSpPr/>
        </xdr:nvCxnSpPr>
        <xdr:spPr>
          <a:xfrm>
            <a:off x="2105025" y="7620001"/>
            <a:ext cx="1323975"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D055F405-43BA-4AFF-A2C0-AB63CCEB24F9}"/>
              </a:ext>
            </a:extLst>
          </xdr:cNvPr>
          <xdr:cNvCxnSpPr/>
        </xdr:nvCxnSpPr>
        <xdr:spPr>
          <a:xfrm>
            <a:off x="3419475" y="7591425"/>
            <a:ext cx="0" cy="30480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209550</xdr:colOff>
      <xdr:row>36</xdr:row>
      <xdr:rowOff>112395</xdr:rowOff>
    </xdr:from>
    <xdr:to>
      <xdr:col>4</xdr:col>
      <xdr:colOff>161925</xdr:colOff>
      <xdr:row>37</xdr:row>
      <xdr:rowOff>179070</xdr:rowOff>
    </xdr:to>
    <xdr:grpSp>
      <xdr:nvGrpSpPr>
        <xdr:cNvPr id="30" name="グループ化 29">
          <a:extLst>
            <a:ext uri="{FF2B5EF4-FFF2-40B4-BE49-F238E27FC236}">
              <a16:creationId xmlns:a16="http://schemas.microsoft.com/office/drawing/2014/main" id="{C7AF16AD-C956-49D7-9435-2FA9D570F13D}"/>
            </a:ext>
          </a:extLst>
        </xdr:cNvPr>
        <xdr:cNvGrpSpPr/>
      </xdr:nvGrpSpPr>
      <xdr:grpSpPr>
        <a:xfrm>
          <a:off x="1581150" y="8684895"/>
          <a:ext cx="1323975" cy="304800"/>
          <a:chOff x="2105025" y="7591425"/>
          <a:chExt cx="1323975" cy="304800"/>
        </a:xfrm>
      </xdr:grpSpPr>
      <xdr:cxnSp macro="">
        <xdr:nvCxnSpPr>
          <xdr:cNvPr id="31" name="直線矢印コネクタ 30">
            <a:extLst>
              <a:ext uri="{FF2B5EF4-FFF2-40B4-BE49-F238E27FC236}">
                <a16:creationId xmlns:a16="http://schemas.microsoft.com/office/drawing/2014/main" id="{789DF741-208E-3465-297E-65FBB2D15ED1}"/>
              </a:ext>
            </a:extLst>
          </xdr:cNvPr>
          <xdr:cNvCxnSpPr/>
        </xdr:nvCxnSpPr>
        <xdr:spPr>
          <a:xfrm>
            <a:off x="2105025" y="7620001"/>
            <a:ext cx="1323975"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F43E9EEF-48E4-DBA8-FBE8-A8D6BF05654B}"/>
              </a:ext>
            </a:extLst>
          </xdr:cNvPr>
          <xdr:cNvCxnSpPr/>
        </xdr:nvCxnSpPr>
        <xdr:spPr>
          <a:xfrm>
            <a:off x="3419475" y="7591425"/>
            <a:ext cx="0" cy="30480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xdr:col>
      <xdr:colOff>161925</xdr:colOff>
      <xdr:row>38</xdr:row>
      <xdr:rowOff>123825</xdr:rowOff>
    </xdr:from>
    <xdr:to>
      <xdr:col>4</xdr:col>
      <xdr:colOff>161925</xdr:colOff>
      <xdr:row>44</xdr:row>
      <xdr:rowOff>38100</xdr:rowOff>
    </xdr:to>
    <xdr:cxnSp macro="">
      <xdr:nvCxnSpPr>
        <xdr:cNvPr id="33" name="直線矢印コネクタ 32">
          <a:extLst>
            <a:ext uri="{FF2B5EF4-FFF2-40B4-BE49-F238E27FC236}">
              <a16:creationId xmlns:a16="http://schemas.microsoft.com/office/drawing/2014/main" id="{0D21B193-47DD-471D-8A7B-25FA325296E2}"/>
            </a:ext>
          </a:extLst>
        </xdr:cNvPr>
        <xdr:cNvCxnSpPr/>
      </xdr:nvCxnSpPr>
      <xdr:spPr>
        <a:xfrm>
          <a:off x="2905125" y="9172575"/>
          <a:ext cx="0" cy="13430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666094</xdr:colOff>
      <xdr:row>36</xdr:row>
      <xdr:rowOff>62865</xdr:rowOff>
    </xdr:from>
    <xdr:to>
      <xdr:col>0</xdr:col>
      <xdr:colOff>666094</xdr:colOff>
      <xdr:row>40</xdr:row>
      <xdr:rowOff>167640</xdr:rowOff>
    </xdr:to>
    <xdr:cxnSp macro="">
      <xdr:nvCxnSpPr>
        <xdr:cNvPr id="34" name="直線矢印コネクタ 33">
          <a:extLst>
            <a:ext uri="{FF2B5EF4-FFF2-40B4-BE49-F238E27FC236}">
              <a16:creationId xmlns:a16="http://schemas.microsoft.com/office/drawing/2014/main" id="{699FC03C-ED9C-4686-BC2E-991451A56670}"/>
            </a:ext>
          </a:extLst>
        </xdr:cNvPr>
        <xdr:cNvCxnSpPr/>
      </xdr:nvCxnSpPr>
      <xdr:spPr>
        <a:xfrm>
          <a:off x="666094" y="8635365"/>
          <a:ext cx="0" cy="105727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9525</xdr:colOff>
      <xdr:row>13</xdr:row>
      <xdr:rowOff>138113</xdr:rowOff>
    </xdr:from>
    <xdr:to>
      <xdr:col>3</xdr:col>
      <xdr:colOff>566738</xdr:colOff>
      <xdr:row>17</xdr:row>
      <xdr:rowOff>42863</xdr:rowOff>
    </xdr:to>
    <xdr:grpSp>
      <xdr:nvGrpSpPr>
        <xdr:cNvPr id="35" name="グループ化 34">
          <a:extLst>
            <a:ext uri="{FF2B5EF4-FFF2-40B4-BE49-F238E27FC236}">
              <a16:creationId xmlns:a16="http://schemas.microsoft.com/office/drawing/2014/main" id="{BCAE25CC-B2F1-4BFF-8588-A8F04411B2B7}"/>
            </a:ext>
          </a:extLst>
        </xdr:cNvPr>
        <xdr:cNvGrpSpPr/>
      </xdr:nvGrpSpPr>
      <xdr:grpSpPr>
        <a:xfrm>
          <a:off x="695325" y="3233738"/>
          <a:ext cx="1928813" cy="857250"/>
          <a:chOff x="762000" y="3157538"/>
          <a:chExt cx="1928813" cy="847725"/>
        </a:xfrm>
      </xdr:grpSpPr>
      <xdr:cxnSp macro="">
        <xdr:nvCxnSpPr>
          <xdr:cNvPr id="36" name="直線矢印コネクタ 35">
            <a:extLst>
              <a:ext uri="{FF2B5EF4-FFF2-40B4-BE49-F238E27FC236}">
                <a16:creationId xmlns:a16="http://schemas.microsoft.com/office/drawing/2014/main" id="{2F58AE63-7825-E8D3-1042-99CBE4637EF0}"/>
              </a:ext>
            </a:extLst>
          </xdr:cNvPr>
          <xdr:cNvCxnSpPr/>
        </xdr:nvCxnSpPr>
        <xdr:spPr>
          <a:xfrm rot="5400000">
            <a:off x="2238374" y="3581401"/>
            <a:ext cx="847725"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413553E5-00DF-CD59-7123-BB4AB0774894}"/>
              </a:ext>
            </a:extLst>
          </xdr:cNvPr>
          <xdr:cNvCxnSpPr/>
        </xdr:nvCxnSpPr>
        <xdr:spPr>
          <a:xfrm flipH="1">
            <a:off x="762000" y="3995739"/>
            <a:ext cx="1928813"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666094</xdr:colOff>
      <xdr:row>31</xdr:row>
      <xdr:rowOff>116205</xdr:rowOff>
    </xdr:from>
    <xdr:to>
      <xdr:col>0</xdr:col>
      <xdr:colOff>666094</xdr:colOff>
      <xdr:row>35</xdr:row>
      <xdr:rowOff>144780</xdr:rowOff>
    </xdr:to>
    <xdr:cxnSp macro="">
      <xdr:nvCxnSpPr>
        <xdr:cNvPr id="38" name="直線矢印コネクタ 37">
          <a:extLst>
            <a:ext uri="{FF2B5EF4-FFF2-40B4-BE49-F238E27FC236}">
              <a16:creationId xmlns:a16="http://schemas.microsoft.com/office/drawing/2014/main" id="{F06D343B-D04B-49D5-A97D-72D45D1E3CA1}"/>
            </a:ext>
          </a:extLst>
        </xdr:cNvPr>
        <xdr:cNvCxnSpPr/>
      </xdr:nvCxnSpPr>
      <xdr:spPr>
        <a:xfrm>
          <a:off x="666094" y="7498080"/>
          <a:ext cx="0" cy="98107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20925</xdr:colOff>
      <xdr:row>43</xdr:row>
      <xdr:rowOff>152400</xdr:rowOff>
    </xdr:from>
    <xdr:to>
      <xdr:col>10</xdr:col>
      <xdr:colOff>20925</xdr:colOff>
      <xdr:row>50</xdr:row>
      <xdr:rowOff>116205</xdr:rowOff>
    </xdr:to>
    <xdr:cxnSp macro="">
      <xdr:nvCxnSpPr>
        <xdr:cNvPr id="39" name="直線矢印コネクタ 38">
          <a:extLst>
            <a:ext uri="{FF2B5EF4-FFF2-40B4-BE49-F238E27FC236}">
              <a16:creationId xmlns:a16="http://schemas.microsoft.com/office/drawing/2014/main" id="{8EB0AB95-8AF7-4F85-8668-8920161EE7B4}"/>
            </a:ext>
          </a:extLst>
        </xdr:cNvPr>
        <xdr:cNvCxnSpPr/>
      </xdr:nvCxnSpPr>
      <xdr:spPr>
        <a:xfrm>
          <a:off x="6878925" y="10391775"/>
          <a:ext cx="0" cy="163068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71437</xdr:colOff>
      <xdr:row>40</xdr:row>
      <xdr:rowOff>156210</xdr:rowOff>
    </xdr:from>
    <xdr:to>
      <xdr:col>7</xdr:col>
      <xdr:colOff>71437</xdr:colOff>
      <xdr:row>47</xdr:row>
      <xdr:rowOff>60960</xdr:rowOff>
    </xdr:to>
    <xdr:cxnSp macro="">
      <xdr:nvCxnSpPr>
        <xdr:cNvPr id="40" name="直線矢印コネクタ 39">
          <a:extLst>
            <a:ext uri="{FF2B5EF4-FFF2-40B4-BE49-F238E27FC236}">
              <a16:creationId xmlns:a16="http://schemas.microsoft.com/office/drawing/2014/main" id="{2C83E779-8EF1-4289-B2AE-11AAF992DD24}"/>
            </a:ext>
          </a:extLst>
        </xdr:cNvPr>
        <xdr:cNvCxnSpPr/>
      </xdr:nvCxnSpPr>
      <xdr:spPr>
        <a:xfrm>
          <a:off x="4872037" y="9681210"/>
          <a:ext cx="0" cy="15716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xdr:colOff>
      <xdr:row>28</xdr:row>
      <xdr:rowOff>146685</xdr:rowOff>
    </xdr:from>
    <xdr:to>
      <xdr:col>11</xdr:col>
      <xdr:colOff>139065</xdr:colOff>
      <xdr:row>28</xdr:row>
      <xdr:rowOff>146685</xdr:rowOff>
    </xdr:to>
    <xdr:cxnSp macro="">
      <xdr:nvCxnSpPr>
        <xdr:cNvPr id="41" name="直線矢印コネクタ 40">
          <a:extLst>
            <a:ext uri="{FF2B5EF4-FFF2-40B4-BE49-F238E27FC236}">
              <a16:creationId xmlns:a16="http://schemas.microsoft.com/office/drawing/2014/main" id="{C403BC21-A64B-4AFD-B9B0-2EE29BEF7873}"/>
            </a:ext>
          </a:extLst>
        </xdr:cNvPr>
        <xdr:cNvCxnSpPr/>
      </xdr:nvCxnSpPr>
      <xdr:spPr>
        <a:xfrm flipH="1">
          <a:off x="691515" y="6814185"/>
          <a:ext cx="699135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581025</xdr:colOff>
      <xdr:row>9</xdr:row>
      <xdr:rowOff>3810</xdr:rowOff>
    </xdr:from>
    <xdr:to>
      <xdr:col>3</xdr:col>
      <xdr:colOff>581025</xdr:colOff>
      <xdr:row>12</xdr:row>
      <xdr:rowOff>22860</xdr:rowOff>
    </xdr:to>
    <xdr:cxnSp macro="">
      <xdr:nvCxnSpPr>
        <xdr:cNvPr id="42" name="直線矢印コネクタ 41">
          <a:extLst>
            <a:ext uri="{FF2B5EF4-FFF2-40B4-BE49-F238E27FC236}">
              <a16:creationId xmlns:a16="http://schemas.microsoft.com/office/drawing/2014/main" id="{F5F96120-EEAD-4DFB-9961-001CAA9D4456}"/>
            </a:ext>
          </a:extLst>
        </xdr:cNvPr>
        <xdr:cNvCxnSpPr/>
      </xdr:nvCxnSpPr>
      <xdr:spPr>
        <a:xfrm>
          <a:off x="2638425" y="2146935"/>
          <a:ext cx="0" cy="7334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264583</xdr:colOff>
      <xdr:row>9</xdr:row>
      <xdr:rowOff>30479</xdr:rowOff>
    </xdr:from>
    <xdr:to>
      <xdr:col>12</xdr:col>
      <xdr:colOff>264583</xdr:colOff>
      <xdr:row>56</xdr:row>
      <xdr:rowOff>70604</xdr:rowOff>
    </xdr:to>
    <xdr:cxnSp macro="">
      <xdr:nvCxnSpPr>
        <xdr:cNvPr id="43" name="直線矢印コネクタ 42">
          <a:extLst>
            <a:ext uri="{FF2B5EF4-FFF2-40B4-BE49-F238E27FC236}">
              <a16:creationId xmlns:a16="http://schemas.microsoft.com/office/drawing/2014/main" id="{BABFF2BD-0364-4F31-959D-C9942C47F1BC}"/>
            </a:ext>
          </a:extLst>
        </xdr:cNvPr>
        <xdr:cNvCxnSpPr/>
      </xdr:nvCxnSpPr>
      <xdr:spPr>
        <a:xfrm flipH="1">
          <a:off x="8494183" y="2173604"/>
          <a:ext cx="0" cy="1123200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660686</xdr:colOff>
      <xdr:row>8</xdr:row>
      <xdr:rowOff>205740</xdr:rowOff>
    </xdr:from>
    <xdr:to>
      <xdr:col>0</xdr:col>
      <xdr:colOff>671502</xdr:colOff>
      <xdr:row>29</xdr:row>
      <xdr:rowOff>207645</xdr:rowOff>
    </xdr:to>
    <xdr:cxnSp macro="">
      <xdr:nvCxnSpPr>
        <xdr:cNvPr id="44" name="直線矢印コネクタ 43">
          <a:extLst>
            <a:ext uri="{FF2B5EF4-FFF2-40B4-BE49-F238E27FC236}">
              <a16:creationId xmlns:a16="http://schemas.microsoft.com/office/drawing/2014/main" id="{0061EA4F-8C61-42A9-A028-4556DF7EA3D0}"/>
            </a:ext>
          </a:extLst>
        </xdr:cNvPr>
        <xdr:cNvCxnSpPr/>
      </xdr:nvCxnSpPr>
      <xdr:spPr>
        <a:xfrm>
          <a:off x="660686" y="2110740"/>
          <a:ext cx="10816" cy="500253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501015</xdr:colOff>
      <xdr:row>9</xdr:row>
      <xdr:rowOff>89536</xdr:rowOff>
    </xdr:from>
    <xdr:to>
      <xdr:col>11</xdr:col>
      <xdr:colOff>120015</xdr:colOff>
      <xdr:row>9</xdr:row>
      <xdr:rowOff>89536</xdr:rowOff>
    </xdr:to>
    <xdr:cxnSp macro="">
      <xdr:nvCxnSpPr>
        <xdr:cNvPr id="45" name="直線矢印コネクタ 44">
          <a:extLst>
            <a:ext uri="{FF2B5EF4-FFF2-40B4-BE49-F238E27FC236}">
              <a16:creationId xmlns:a16="http://schemas.microsoft.com/office/drawing/2014/main" id="{9D4170E9-4602-4266-AEE2-17B7D3E49FD1}"/>
            </a:ext>
          </a:extLst>
        </xdr:cNvPr>
        <xdr:cNvCxnSpPr/>
      </xdr:nvCxnSpPr>
      <xdr:spPr>
        <a:xfrm>
          <a:off x="1186815" y="2232661"/>
          <a:ext cx="6477000"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38099</xdr:colOff>
      <xdr:row>0</xdr:row>
      <xdr:rowOff>166686</xdr:rowOff>
    </xdr:from>
    <xdr:to>
      <xdr:col>12</xdr:col>
      <xdr:colOff>657224</xdr:colOff>
      <xdr:row>2</xdr:row>
      <xdr:rowOff>123825</xdr:rowOff>
    </xdr:to>
    <xdr:sp macro="" textlink="">
      <xdr:nvSpPr>
        <xdr:cNvPr id="46" name="テキスト ボックス 45">
          <a:extLst>
            <a:ext uri="{FF2B5EF4-FFF2-40B4-BE49-F238E27FC236}">
              <a16:creationId xmlns:a16="http://schemas.microsoft.com/office/drawing/2014/main" id="{24CA7925-2A12-444E-8CD3-2C74FB16C13B}"/>
            </a:ext>
          </a:extLst>
        </xdr:cNvPr>
        <xdr:cNvSpPr txBox="1"/>
      </xdr:nvSpPr>
      <xdr:spPr>
        <a:xfrm>
          <a:off x="38099" y="166686"/>
          <a:ext cx="8848725" cy="433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空調活動量算定ツールの選定フロー　</a:t>
          </a:r>
          <a:r>
            <a:rPr kumimoji="1" lang="en-US" altLang="ja-JP" sz="1100" b="1">
              <a:solidFill>
                <a:schemeClr val="bg1"/>
              </a:solidFill>
              <a:effectLst/>
              <a:latin typeface="+mn-lt"/>
              <a:ea typeface="+mn-ea"/>
              <a:cs typeface="+mn-cs"/>
            </a:rPr>
            <a:t>Ver. 1.3</a:t>
          </a:r>
        </a:p>
      </xdr:txBody>
    </xdr:sp>
    <xdr:clientData/>
  </xdr:twoCellAnchor>
  <xdr:twoCellAnchor>
    <xdr:from>
      <xdr:col>0</xdr:col>
      <xdr:colOff>38101</xdr:colOff>
      <xdr:row>8</xdr:row>
      <xdr:rowOff>93345</xdr:rowOff>
    </xdr:from>
    <xdr:to>
      <xdr:col>2</xdr:col>
      <xdr:colOff>85725</xdr:colOff>
      <xdr:row>11</xdr:row>
      <xdr:rowOff>36195</xdr:rowOff>
    </xdr:to>
    <xdr:grpSp>
      <xdr:nvGrpSpPr>
        <xdr:cNvPr id="47" name="グループ化 46">
          <a:extLst>
            <a:ext uri="{FF2B5EF4-FFF2-40B4-BE49-F238E27FC236}">
              <a16:creationId xmlns:a16="http://schemas.microsoft.com/office/drawing/2014/main" id="{5CCC598E-6BB0-4C7F-966D-F7598957C4DE}"/>
            </a:ext>
          </a:extLst>
        </xdr:cNvPr>
        <xdr:cNvGrpSpPr/>
      </xdr:nvGrpSpPr>
      <xdr:grpSpPr>
        <a:xfrm>
          <a:off x="38101" y="1998345"/>
          <a:ext cx="1419224" cy="657225"/>
          <a:chOff x="428626" y="1790700"/>
          <a:chExt cx="1419224" cy="657225"/>
        </a:xfrm>
      </xdr:grpSpPr>
      <xdr:sp macro="" textlink="">
        <xdr:nvSpPr>
          <xdr:cNvPr id="48" name="フローチャート: 準備 47">
            <a:extLst>
              <a:ext uri="{FF2B5EF4-FFF2-40B4-BE49-F238E27FC236}">
                <a16:creationId xmlns:a16="http://schemas.microsoft.com/office/drawing/2014/main" id="{DD30D4F4-A32A-B81A-2969-F361149766D8}"/>
              </a:ext>
            </a:extLst>
          </xdr:cNvPr>
          <xdr:cNvSpPr/>
        </xdr:nvSpPr>
        <xdr:spPr>
          <a:xfrm>
            <a:off x="428626" y="1790700"/>
            <a:ext cx="1314449" cy="485775"/>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48">
            <a:extLst>
              <a:ext uri="{FF2B5EF4-FFF2-40B4-BE49-F238E27FC236}">
                <a16:creationId xmlns:a16="http://schemas.microsoft.com/office/drawing/2014/main" id="{72079DC5-6735-BD90-BA91-DE1805C459BA}"/>
              </a:ext>
            </a:extLst>
          </xdr:cNvPr>
          <xdr:cNvSpPr txBox="1"/>
        </xdr:nvSpPr>
        <xdr:spPr>
          <a:xfrm>
            <a:off x="495300" y="1885951"/>
            <a:ext cx="1352550" cy="56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事務所</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0</xdr:col>
      <xdr:colOff>91017</xdr:colOff>
      <xdr:row>4</xdr:row>
      <xdr:rowOff>166372</xdr:rowOff>
    </xdr:from>
    <xdr:to>
      <xdr:col>3</xdr:col>
      <xdr:colOff>271991</xdr:colOff>
      <xdr:row>6</xdr:row>
      <xdr:rowOff>80648</xdr:rowOff>
    </xdr:to>
    <xdr:sp macro="" textlink="">
      <xdr:nvSpPr>
        <xdr:cNvPr id="50" name="四角形: 対角を丸める 49">
          <a:extLst>
            <a:ext uri="{FF2B5EF4-FFF2-40B4-BE49-F238E27FC236}">
              <a16:creationId xmlns:a16="http://schemas.microsoft.com/office/drawing/2014/main" id="{0A5681B6-874C-452A-BCAE-24B15D13FEA5}"/>
            </a:ext>
          </a:extLst>
        </xdr:cNvPr>
        <xdr:cNvSpPr/>
      </xdr:nvSpPr>
      <xdr:spPr>
        <a:xfrm>
          <a:off x="91017" y="1118872"/>
          <a:ext cx="2238374" cy="390526"/>
        </a:xfrm>
        <a:prstGeom prst="round2DiagRect">
          <a:avLst/>
        </a:prstGeom>
        <a:solidFill>
          <a:srgbClr val="CCFFCC"/>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solidFill>
                <a:schemeClr val="tx1"/>
              </a:solidFill>
              <a:effectLst/>
              <a:latin typeface="ＭＳ Ｐゴシック" panose="020B0600070205080204" pitchFamily="50" charset="-128"/>
              <a:ea typeface="ＭＳ Ｐゴシック" panose="020B0600070205080204" pitchFamily="50" charset="-128"/>
            </a:rPr>
            <a:t>スタート</a:t>
          </a:r>
          <a:endParaRPr kumimoji="1" lang="en-US" altLang="ja-JP" sz="14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662939</xdr:colOff>
      <xdr:row>34</xdr:row>
      <xdr:rowOff>167640</xdr:rowOff>
    </xdr:from>
    <xdr:to>
      <xdr:col>8</xdr:col>
      <xdr:colOff>297179</xdr:colOff>
      <xdr:row>37</xdr:row>
      <xdr:rowOff>34290</xdr:rowOff>
    </xdr:to>
    <xdr:sp macro="" textlink="">
      <xdr:nvSpPr>
        <xdr:cNvPr id="51" name="四角形: 対角を丸める 50">
          <a:extLst>
            <a:ext uri="{FF2B5EF4-FFF2-40B4-BE49-F238E27FC236}">
              <a16:creationId xmlns:a16="http://schemas.microsoft.com/office/drawing/2014/main" id="{49865FD5-D62C-4D7D-959F-627EF09EA919}"/>
            </a:ext>
          </a:extLst>
        </xdr:cNvPr>
        <xdr:cNvSpPr/>
      </xdr:nvSpPr>
      <xdr:spPr>
        <a:xfrm>
          <a:off x="3406139" y="8263890"/>
          <a:ext cx="2377440" cy="58102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a:t>
          </a:r>
          <a:r>
            <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rPr>
            <a:t>EHP</a:t>
          </a: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12</xdr:col>
      <xdr:colOff>276225</xdr:colOff>
      <xdr:row>10</xdr:row>
      <xdr:rowOff>105728</xdr:rowOff>
    </xdr:from>
    <xdr:ext cx="439864" cy="259045"/>
    <xdr:sp macro="" textlink="">
      <xdr:nvSpPr>
        <xdr:cNvPr id="52" name="テキスト ボックス 51">
          <a:extLst>
            <a:ext uri="{FF2B5EF4-FFF2-40B4-BE49-F238E27FC236}">
              <a16:creationId xmlns:a16="http://schemas.microsoft.com/office/drawing/2014/main" id="{D6E625AF-2631-4A89-B024-CC8CDDB2CB6C}"/>
            </a:ext>
          </a:extLst>
        </xdr:cNvPr>
        <xdr:cNvSpPr txBox="1"/>
      </xdr:nvSpPr>
      <xdr:spPr>
        <a:xfrm>
          <a:off x="8505825" y="24869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1</xdr:col>
      <xdr:colOff>512445</xdr:colOff>
      <xdr:row>8</xdr:row>
      <xdr:rowOff>15240</xdr:rowOff>
    </xdr:from>
    <xdr:ext cx="560410" cy="259045"/>
    <xdr:sp macro="" textlink="">
      <xdr:nvSpPr>
        <xdr:cNvPr id="53" name="テキスト ボックス 52">
          <a:extLst>
            <a:ext uri="{FF2B5EF4-FFF2-40B4-BE49-F238E27FC236}">
              <a16:creationId xmlns:a16="http://schemas.microsoft.com/office/drawing/2014/main" id="{D1377482-1470-4ECB-AE79-9AA19342D0FF}"/>
            </a:ext>
          </a:extLst>
        </xdr:cNvPr>
        <xdr:cNvSpPr txBox="1"/>
      </xdr:nvSpPr>
      <xdr:spPr>
        <a:xfrm>
          <a:off x="1198245" y="192024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twoCellAnchor>
    <xdr:from>
      <xdr:col>0</xdr:col>
      <xdr:colOff>0</xdr:colOff>
      <xdr:row>30</xdr:row>
      <xdr:rowOff>5714</xdr:rowOff>
    </xdr:from>
    <xdr:to>
      <xdr:col>2</xdr:col>
      <xdr:colOff>561974</xdr:colOff>
      <xdr:row>32</xdr:row>
      <xdr:rowOff>139064</xdr:rowOff>
    </xdr:to>
    <xdr:sp macro="" textlink="">
      <xdr:nvSpPr>
        <xdr:cNvPr id="54" name="フローチャート: 準備 53">
          <a:extLst>
            <a:ext uri="{FF2B5EF4-FFF2-40B4-BE49-F238E27FC236}">
              <a16:creationId xmlns:a16="http://schemas.microsoft.com/office/drawing/2014/main" id="{875EE9A5-6326-47F2-A169-62D8434CAF04}"/>
            </a:ext>
          </a:extLst>
        </xdr:cNvPr>
        <xdr:cNvSpPr/>
      </xdr:nvSpPr>
      <xdr:spPr>
        <a:xfrm>
          <a:off x="0" y="7149464"/>
          <a:ext cx="1933574" cy="609600"/>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セントラル空調ですか？</a:t>
          </a:r>
        </a:p>
      </xdr:txBody>
    </xdr:sp>
    <xdr:clientData/>
  </xdr:twoCellAnchor>
  <xdr:twoCellAnchor>
    <xdr:from>
      <xdr:col>4</xdr:col>
      <xdr:colOff>120015</xdr:colOff>
      <xdr:row>30</xdr:row>
      <xdr:rowOff>5714</xdr:rowOff>
    </xdr:from>
    <xdr:to>
      <xdr:col>6</xdr:col>
      <xdr:colOff>645795</xdr:colOff>
      <xdr:row>32</xdr:row>
      <xdr:rowOff>139065</xdr:rowOff>
    </xdr:to>
    <xdr:sp macro="" textlink="">
      <xdr:nvSpPr>
        <xdr:cNvPr id="55" name="フローチャート: 準備 54">
          <a:extLst>
            <a:ext uri="{FF2B5EF4-FFF2-40B4-BE49-F238E27FC236}">
              <a16:creationId xmlns:a16="http://schemas.microsoft.com/office/drawing/2014/main" id="{D442FF82-FB77-4E40-8082-DC3D76495CE6}"/>
            </a:ext>
          </a:extLst>
        </xdr:cNvPr>
        <xdr:cNvSpPr/>
      </xdr:nvSpPr>
      <xdr:spPr>
        <a:xfrm>
          <a:off x="2863215" y="7149464"/>
          <a:ext cx="1897380" cy="609601"/>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動力源は電気ですか？</a:t>
          </a:r>
        </a:p>
      </xdr:txBody>
    </xdr:sp>
    <xdr:clientData/>
  </xdr:twoCellAnchor>
  <xdr:twoCellAnchor>
    <xdr:from>
      <xdr:col>0</xdr:col>
      <xdr:colOff>41910</xdr:colOff>
      <xdr:row>35</xdr:row>
      <xdr:rowOff>180976</xdr:rowOff>
    </xdr:from>
    <xdr:to>
      <xdr:col>3</xdr:col>
      <xdr:colOff>165734</xdr:colOff>
      <xdr:row>37</xdr:row>
      <xdr:rowOff>85726</xdr:rowOff>
    </xdr:to>
    <xdr:sp macro="" textlink="">
      <xdr:nvSpPr>
        <xdr:cNvPr id="56" name="フローチャート: 準備 55">
          <a:extLst>
            <a:ext uri="{FF2B5EF4-FFF2-40B4-BE49-F238E27FC236}">
              <a16:creationId xmlns:a16="http://schemas.microsoft.com/office/drawing/2014/main" id="{0B3A142E-AD8F-4E42-A8DA-72898BE91EDF}"/>
            </a:ext>
          </a:extLst>
        </xdr:cNvPr>
        <xdr:cNvSpPr/>
      </xdr:nvSpPr>
      <xdr:spPr>
        <a:xfrm>
          <a:off x="41910" y="8515351"/>
          <a:ext cx="2181224" cy="381000"/>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空冷ですか？</a:t>
          </a:r>
        </a:p>
      </xdr:txBody>
    </xdr:sp>
    <xdr:clientData/>
  </xdr:twoCellAnchor>
  <xdr:twoCellAnchor>
    <xdr:from>
      <xdr:col>0</xdr:col>
      <xdr:colOff>1905</xdr:colOff>
      <xdr:row>40</xdr:row>
      <xdr:rowOff>198119</xdr:rowOff>
    </xdr:from>
    <xdr:to>
      <xdr:col>3</xdr:col>
      <xdr:colOff>344805</xdr:colOff>
      <xdr:row>43</xdr:row>
      <xdr:rowOff>74294</xdr:rowOff>
    </xdr:to>
    <xdr:sp macro="" textlink="">
      <xdr:nvSpPr>
        <xdr:cNvPr id="57" name="四角形: 対角を丸める 56">
          <a:extLst>
            <a:ext uri="{FF2B5EF4-FFF2-40B4-BE49-F238E27FC236}">
              <a16:creationId xmlns:a16="http://schemas.microsoft.com/office/drawing/2014/main" id="{D59DBAE2-B621-43AF-9FD9-6A2BF070E9F4}"/>
            </a:ext>
          </a:extLst>
        </xdr:cNvPr>
        <xdr:cNvSpPr/>
      </xdr:nvSpPr>
      <xdr:spPr>
        <a:xfrm>
          <a:off x="1905" y="9723119"/>
          <a:ext cx="2400300" cy="590550"/>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空調年間活動量算定ツール（空冷</a:t>
          </a:r>
          <a:r>
            <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rPr>
            <a:t>HP</a:t>
          </a: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チラー版）を利用できます！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285750</xdr:colOff>
      <xdr:row>37</xdr:row>
      <xdr:rowOff>190501</xdr:rowOff>
    </xdr:from>
    <xdr:to>
      <xdr:col>6</xdr:col>
      <xdr:colOff>28574</xdr:colOff>
      <xdr:row>40</xdr:row>
      <xdr:rowOff>19050</xdr:rowOff>
    </xdr:to>
    <xdr:sp macro="" textlink="">
      <xdr:nvSpPr>
        <xdr:cNvPr id="58" name="フローチャート: 準備 57">
          <a:extLst>
            <a:ext uri="{FF2B5EF4-FFF2-40B4-BE49-F238E27FC236}">
              <a16:creationId xmlns:a16="http://schemas.microsoft.com/office/drawing/2014/main" id="{6DD029ED-2659-4560-8B67-A2A00506016A}"/>
            </a:ext>
          </a:extLst>
        </xdr:cNvPr>
        <xdr:cNvSpPr/>
      </xdr:nvSpPr>
      <xdr:spPr>
        <a:xfrm>
          <a:off x="1657350" y="9001126"/>
          <a:ext cx="2486024" cy="542924"/>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ウォーターチリング</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ユニットですか？</a:t>
          </a:r>
        </a:p>
      </xdr:txBody>
    </xdr:sp>
    <xdr:clientData/>
  </xdr:twoCellAnchor>
  <xdr:twoCellAnchor>
    <xdr:from>
      <xdr:col>5</xdr:col>
      <xdr:colOff>182879</xdr:colOff>
      <xdr:row>40</xdr:row>
      <xdr:rowOff>81916</xdr:rowOff>
    </xdr:from>
    <xdr:to>
      <xdr:col>8</xdr:col>
      <xdr:colOff>598169</xdr:colOff>
      <xdr:row>41</xdr:row>
      <xdr:rowOff>224791</xdr:rowOff>
    </xdr:to>
    <xdr:sp macro="" textlink="">
      <xdr:nvSpPr>
        <xdr:cNvPr id="59" name="フローチャート: 準備 58">
          <a:extLst>
            <a:ext uri="{FF2B5EF4-FFF2-40B4-BE49-F238E27FC236}">
              <a16:creationId xmlns:a16="http://schemas.microsoft.com/office/drawing/2014/main" id="{C8C0385A-8144-43A5-B76F-BEBD4DDA12C4}"/>
            </a:ext>
          </a:extLst>
        </xdr:cNvPr>
        <xdr:cNvSpPr/>
      </xdr:nvSpPr>
      <xdr:spPr>
        <a:xfrm>
          <a:off x="3611879" y="9606916"/>
          <a:ext cx="2472690" cy="381000"/>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遠心冷凍機ですか？</a:t>
          </a:r>
        </a:p>
      </xdr:txBody>
    </xdr:sp>
    <xdr:clientData/>
  </xdr:twoCellAnchor>
  <xdr:twoCellAnchor>
    <xdr:from>
      <xdr:col>7</xdr:col>
      <xdr:colOff>647699</xdr:colOff>
      <xdr:row>42</xdr:row>
      <xdr:rowOff>121921</xdr:rowOff>
    </xdr:from>
    <xdr:to>
      <xdr:col>11</xdr:col>
      <xdr:colOff>609598</xdr:colOff>
      <xdr:row>44</xdr:row>
      <xdr:rowOff>36196</xdr:rowOff>
    </xdr:to>
    <xdr:sp macro="" textlink="">
      <xdr:nvSpPr>
        <xdr:cNvPr id="60" name="フローチャート: 準備 59">
          <a:extLst>
            <a:ext uri="{FF2B5EF4-FFF2-40B4-BE49-F238E27FC236}">
              <a16:creationId xmlns:a16="http://schemas.microsoft.com/office/drawing/2014/main" id="{460DF810-5A38-4718-B5AB-C75099D489F8}"/>
            </a:ext>
          </a:extLst>
        </xdr:cNvPr>
        <xdr:cNvSpPr/>
      </xdr:nvSpPr>
      <xdr:spPr>
        <a:xfrm>
          <a:off x="5448299" y="10123171"/>
          <a:ext cx="2705099" cy="390525"/>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吸収式冷凍機ですか？</a:t>
          </a:r>
        </a:p>
      </xdr:txBody>
    </xdr:sp>
    <xdr:clientData/>
  </xdr:twoCellAnchor>
  <xdr:twoCellAnchor>
    <xdr:from>
      <xdr:col>2</xdr:col>
      <xdr:colOff>327659</xdr:colOff>
      <xdr:row>44</xdr:row>
      <xdr:rowOff>59055</xdr:rowOff>
    </xdr:from>
    <xdr:to>
      <xdr:col>5</xdr:col>
      <xdr:colOff>653414</xdr:colOff>
      <xdr:row>46</xdr:row>
      <xdr:rowOff>125730</xdr:rowOff>
    </xdr:to>
    <xdr:sp macro="" textlink="">
      <xdr:nvSpPr>
        <xdr:cNvPr id="61" name="四角形: 対角を丸める 60">
          <a:extLst>
            <a:ext uri="{FF2B5EF4-FFF2-40B4-BE49-F238E27FC236}">
              <a16:creationId xmlns:a16="http://schemas.microsoft.com/office/drawing/2014/main" id="{DBEA7E2E-6275-4A8C-B7FA-FDE560725257}"/>
            </a:ext>
          </a:extLst>
        </xdr:cNvPr>
        <xdr:cNvSpPr/>
      </xdr:nvSpPr>
      <xdr:spPr>
        <a:xfrm>
          <a:off x="1699259" y="10536555"/>
          <a:ext cx="2383155" cy="54292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空調年間活動量算定ツール（水冷</a:t>
          </a:r>
          <a:r>
            <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rPr>
            <a:t>HP</a:t>
          </a: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チラー版）を利用できます！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240030</xdr:colOff>
      <xdr:row>47</xdr:row>
      <xdr:rowOff>85725</xdr:rowOff>
    </xdr:from>
    <xdr:to>
      <xdr:col>8</xdr:col>
      <xdr:colOff>611505</xdr:colOff>
      <xdr:row>49</xdr:row>
      <xdr:rowOff>190500</xdr:rowOff>
    </xdr:to>
    <xdr:sp macro="" textlink="">
      <xdr:nvSpPr>
        <xdr:cNvPr id="62" name="四角形: 対角を丸める 61">
          <a:extLst>
            <a:ext uri="{FF2B5EF4-FFF2-40B4-BE49-F238E27FC236}">
              <a16:creationId xmlns:a16="http://schemas.microsoft.com/office/drawing/2014/main" id="{01FB62BF-AB72-41B8-AE3C-6103804A5C4A}"/>
            </a:ext>
          </a:extLst>
        </xdr:cNvPr>
        <xdr:cNvSpPr/>
      </xdr:nvSpPr>
      <xdr:spPr>
        <a:xfrm>
          <a:off x="3669030" y="11277600"/>
          <a:ext cx="2428875" cy="58102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空調年間活動量算定ツール（遠心冷凍機版）を利用できます！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182880</xdr:colOff>
      <xdr:row>50</xdr:row>
      <xdr:rowOff>135255</xdr:rowOff>
    </xdr:from>
    <xdr:to>
      <xdr:col>11</xdr:col>
      <xdr:colOff>573405</xdr:colOff>
      <xdr:row>52</xdr:row>
      <xdr:rowOff>220980</xdr:rowOff>
    </xdr:to>
    <xdr:sp macro="" textlink="">
      <xdr:nvSpPr>
        <xdr:cNvPr id="63" name="四角形: 対角を丸める 62">
          <a:extLst>
            <a:ext uri="{FF2B5EF4-FFF2-40B4-BE49-F238E27FC236}">
              <a16:creationId xmlns:a16="http://schemas.microsoft.com/office/drawing/2014/main" id="{1E66DA3D-1920-4EA9-B62A-FC3164D088A0}"/>
            </a:ext>
          </a:extLst>
        </xdr:cNvPr>
        <xdr:cNvSpPr/>
      </xdr:nvSpPr>
      <xdr:spPr>
        <a:xfrm>
          <a:off x="5669280" y="12041505"/>
          <a:ext cx="2447925" cy="56197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空調年間活動量算定ツール（吸収式冷凍機版）を利用できます！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634365</xdr:colOff>
      <xdr:row>32</xdr:row>
      <xdr:rowOff>134303</xdr:rowOff>
    </xdr:from>
    <xdr:ext cx="439864" cy="259045"/>
    <xdr:sp macro="" textlink="">
      <xdr:nvSpPr>
        <xdr:cNvPr id="64" name="テキスト ボックス 63">
          <a:extLst>
            <a:ext uri="{FF2B5EF4-FFF2-40B4-BE49-F238E27FC236}">
              <a16:creationId xmlns:a16="http://schemas.microsoft.com/office/drawing/2014/main" id="{AD853A88-B25D-408A-A60C-3C6DA60F99F7}"/>
            </a:ext>
          </a:extLst>
        </xdr:cNvPr>
        <xdr:cNvSpPr txBox="1"/>
      </xdr:nvSpPr>
      <xdr:spPr>
        <a:xfrm>
          <a:off x="3377565" y="775430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10</xdr:col>
      <xdr:colOff>247650</xdr:colOff>
      <xdr:row>10</xdr:row>
      <xdr:rowOff>105728</xdr:rowOff>
    </xdr:from>
    <xdr:ext cx="560410" cy="259045"/>
    <xdr:sp macro="" textlink="">
      <xdr:nvSpPr>
        <xdr:cNvPr id="65" name="テキスト ボックス 64">
          <a:extLst>
            <a:ext uri="{FF2B5EF4-FFF2-40B4-BE49-F238E27FC236}">
              <a16:creationId xmlns:a16="http://schemas.microsoft.com/office/drawing/2014/main" id="{74237017-F88C-4ACA-892D-58E84D828C6C}"/>
            </a:ext>
          </a:extLst>
        </xdr:cNvPr>
        <xdr:cNvSpPr txBox="1"/>
      </xdr:nvSpPr>
      <xdr:spPr>
        <a:xfrm>
          <a:off x="7105650" y="2486978"/>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6</xdr:col>
      <xdr:colOff>367665</xdr:colOff>
      <xdr:row>17</xdr:row>
      <xdr:rowOff>191453</xdr:rowOff>
    </xdr:from>
    <xdr:ext cx="560410" cy="259045"/>
    <xdr:sp macro="" textlink="">
      <xdr:nvSpPr>
        <xdr:cNvPr id="66" name="テキスト ボックス 65">
          <a:extLst>
            <a:ext uri="{FF2B5EF4-FFF2-40B4-BE49-F238E27FC236}">
              <a16:creationId xmlns:a16="http://schemas.microsoft.com/office/drawing/2014/main" id="{50011751-430D-411E-9FAB-83F06A6270C2}"/>
            </a:ext>
          </a:extLst>
        </xdr:cNvPr>
        <xdr:cNvSpPr txBox="1"/>
      </xdr:nvSpPr>
      <xdr:spPr>
        <a:xfrm>
          <a:off x="4482465" y="4239578"/>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0</xdr:col>
      <xdr:colOff>177165</xdr:colOff>
      <xdr:row>10</xdr:row>
      <xdr:rowOff>105728</xdr:rowOff>
    </xdr:from>
    <xdr:ext cx="439864" cy="259045"/>
    <xdr:sp macro="" textlink="">
      <xdr:nvSpPr>
        <xdr:cNvPr id="67" name="テキスト ボックス 66">
          <a:extLst>
            <a:ext uri="{FF2B5EF4-FFF2-40B4-BE49-F238E27FC236}">
              <a16:creationId xmlns:a16="http://schemas.microsoft.com/office/drawing/2014/main" id="{1FAE3C1B-21CB-41A4-93B0-C3A25AE83D0B}"/>
            </a:ext>
          </a:extLst>
        </xdr:cNvPr>
        <xdr:cNvSpPr txBox="1"/>
      </xdr:nvSpPr>
      <xdr:spPr>
        <a:xfrm>
          <a:off x="177165" y="24869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8</xdr:col>
      <xdr:colOff>313797</xdr:colOff>
      <xdr:row>56</xdr:row>
      <xdr:rowOff>78634</xdr:rowOff>
    </xdr:from>
    <xdr:to>
      <xdr:col>12</xdr:col>
      <xdr:colOff>584730</xdr:colOff>
      <xdr:row>57</xdr:row>
      <xdr:rowOff>214315</xdr:rowOff>
    </xdr:to>
    <xdr:sp macro="" textlink="">
      <xdr:nvSpPr>
        <xdr:cNvPr id="68" name="四角形: 対角を丸める 67">
          <a:extLst>
            <a:ext uri="{FF2B5EF4-FFF2-40B4-BE49-F238E27FC236}">
              <a16:creationId xmlns:a16="http://schemas.microsoft.com/office/drawing/2014/main" id="{988B73EF-4732-4D84-96CD-E6813FF4462B}"/>
            </a:ext>
          </a:extLst>
        </xdr:cNvPr>
        <xdr:cNvSpPr/>
      </xdr:nvSpPr>
      <xdr:spPr>
        <a:xfrm>
          <a:off x="5800197" y="13413634"/>
          <a:ext cx="3014133" cy="373806"/>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ＭＳ Ｐゴシック" panose="020B0600070205080204" pitchFamily="50" charset="-128"/>
              <a:ea typeface="ＭＳ Ｐゴシック" panose="020B0600070205080204" pitchFamily="50" charset="-128"/>
            </a:rPr>
            <a:t>ガイドライン等を参照し計算してください</a:t>
          </a:r>
          <a:endParaRPr kumimoji="1" lang="en-US" altLang="ja-JP" sz="12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xdr:colOff>
      <xdr:row>35</xdr:row>
      <xdr:rowOff>87630</xdr:rowOff>
    </xdr:from>
    <xdr:ext cx="560410" cy="259045"/>
    <xdr:sp macro="" textlink="">
      <xdr:nvSpPr>
        <xdr:cNvPr id="69" name="テキスト ボックス 68">
          <a:extLst>
            <a:ext uri="{FF2B5EF4-FFF2-40B4-BE49-F238E27FC236}">
              <a16:creationId xmlns:a16="http://schemas.microsoft.com/office/drawing/2014/main" id="{FE0D2393-06B6-4A35-A02A-CD302B5231B6}"/>
            </a:ext>
          </a:extLst>
        </xdr:cNvPr>
        <xdr:cNvSpPr txBox="1"/>
      </xdr:nvSpPr>
      <xdr:spPr>
        <a:xfrm>
          <a:off x="2066925" y="842200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5</xdr:col>
      <xdr:colOff>590550</xdr:colOff>
      <xdr:row>37</xdr:row>
      <xdr:rowOff>186690</xdr:rowOff>
    </xdr:from>
    <xdr:ext cx="560410" cy="259045"/>
    <xdr:sp macro="" textlink="">
      <xdr:nvSpPr>
        <xdr:cNvPr id="70" name="テキスト ボックス 69">
          <a:extLst>
            <a:ext uri="{FF2B5EF4-FFF2-40B4-BE49-F238E27FC236}">
              <a16:creationId xmlns:a16="http://schemas.microsoft.com/office/drawing/2014/main" id="{039FD847-9FDF-41A0-956F-DD951DDD2E58}"/>
            </a:ext>
          </a:extLst>
        </xdr:cNvPr>
        <xdr:cNvSpPr txBox="1"/>
      </xdr:nvSpPr>
      <xdr:spPr>
        <a:xfrm>
          <a:off x="4019550" y="899731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2</xdr:col>
      <xdr:colOff>455295</xdr:colOff>
      <xdr:row>30</xdr:row>
      <xdr:rowOff>15240</xdr:rowOff>
    </xdr:from>
    <xdr:ext cx="560410" cy="259045"/>
    <xdr:sp macro="" textlink="">
      <xdr:nvSpPr>
        <xdr:cNvPr id="71" name="テキスト ボックス 70">
          <a:extLst>
            <a:ext uri="{FF2B5EF4-FFF2-40B4-BE49-F238E27FC236}">
              <a16:creationId xmlns:a16="http://schemas.microsoft.com/office/drawing/2014/main" id="{45765273-09C3-42AF-B12B-0DDD18BD7EE4}"/>
            </a:ext>
          </a:extLst>
        </xdr:cNvPr>
        <xdr:cNvSpPr txBox="1"/>
      </xdr:nvSpPr>
      <xdr:spPr>
        <a:xfrm>
          <a:off x="1826895" y="715899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0</xdr:col>
      <xdr:colOff>217170</xdr:colOff>
      <xdr:row>37</xdr:row>
      <xdr:rowOff>92393</xdr:rowOff>
    </xdr:from>
    <xdr:ext cx="439864" cy="259045"/>
    <xdr:sp macro="" textlink="">
      <xdr:nvSpPr>
        <xdr:cNvPr id="72" name="テキスト ボックス 71">
          <a:extLst>
            <a:ext uri="{FF2B5EF4-FFF2-40B4-BE49-F238E27FC236}">
              <a16:creationId xmlns:a16="http://schemas.microsoft.com/office/drawing/2014/main" id="{5F80E315-7FE9-43AC-86DC-C333AD264B89}"/>
            </a:ext>
          </a:extLst>
        </xdr:cNvPr>
        <xdr:cNvSpPr txBox="1"/>
      </xdr:nvSpPr>
      <xdr:spPr>
        <a:xfrm>
          <a:off x="217170" y="890301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2</xdr:col>
      <xdr:colOff>606744</xdr:colOff>
      <xdr:row>8</xdr:row>
      <xdr:rowOff>108585</xdr:rowOff>
    </xdr:from>
    <xdr:to>
      <xdr:col>5</xdr:col>
      <xdr:colOff>73343</xdr:colOff>
      <xdr:row>11</xdr:row>
      <xdr:rowOff>51432</xdr:rowOff>
    </xdr:to>
    <xdr:grpSp>
      <xdr:nvGrpSpPr>
        <xdr:cNvPr id="73" name="グループ化 72">
          <a:extLst>
            <a:ext uri="{FF2B5EF4-FFF2-40B4-BE49-F238E27FC236}">
              <a16:creationId xmlns:a16="http://schemas.microsoft.com/office/drawing/2014/main" id="{5EDDEE78-0DE3-4E4B-911D-C7FC7F05FA63}"/>
            </a:ext>
          </a:extLst>
        </xdr:cNvPr>
        <xdr:cNvGrpSpPr/>
      </xdr:nvGrpSpPr>
      <xdr:grpSpPr>
        <a:xfrm>
          <a:off x="1978344" y="2013585"/>
          <a:ext cx="1523999" cy="657222"/>
          <a:chOff x="1895476" y="1790700"/>
          <a:chExt cx="1523999" cy="657223"/>
        </a:xfrm>
      </xdr:grpSpPr>
      <xdr:sp macro="" textlink="">
        <xdr:nvSpPr>
          <xdr:cNvPr id="74" name="フローチャート: 準備 73">
            <a:extLst>
              <a:ext uri="{FF2B5EF4-FFF2-40B4-BE49-F238E27FC236}">
                <a16:creationId xmlns:a16="http://schemas.microsoft.com/office/drawing/2014/main" id="{9842861B-C8AD-CE7C-75FB-D2D6786FF8D0}"/>
              </a:ext>
            </a:extLst>
          </xdr:cNvPr>
          <xdr:cNvSpPr/>
        </xdr:nvSpPr>
        <xdr:spPr>
          <a:xfrm>
            <a:off x="1895476" y="1790700"/>
            <a:ext cx="1314449" cy="485775"/>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75" name="テキスト ボックス 74">
            <a:extLst>
              <a:ext uri="{FF2B5EF4-FFF2-40B4-BE49-F238E27FC236}">
                <a16:creationId xmlns:a16="http://schemas.microsoft.com/office/drawing/2014/main" id="{542D488D-2D1A-807D-74D1-CB6DF8B4B560}"/>
              </a:ext>
            </a:extLst>
          </xdr:cNvPr>
          <xdr:cNvSpPr txBox="1"/>
        </xdr:nvSpPr>
        <xdr:spPr>
          <a:xfrm>
            <a:off x="2066925" y="1885949"/>
            <a:ext cx="1352550" cy="56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店舗</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5</xdr:col>
      <xdr:colOff>235745</xdr:colOff>
      <xdr:row>8</xdr:row>
      <xdr:rowOff>93345</xdr:rowOff>
    </xdr:from>
    <xdr:to>
      <xdr:col>7</xdr:col>
      <xdr:colOff>388144</xdr:colOff>
      <xdr:row>11</xdr:row>
      <xdr:rowOff>36195</xdr:rowOff>
    </xdr:to>
    <xdr:grpSp>
      <xdr:nvGrpSpPr>
        <xdr:cNvPr id="76" name="グループ化 75">
          <a:extLst>
            <a:ext uri="{FF2B5EF4-FFF2-40B4-BE49-F238E27FC236}">
              <a16:creationId xmlns:a16="http://schemas.microsoft.com/office/drawing/2014/main" id="{F8608FCD-E1A0-4B9E-BFE5-6A6119DD86A5}"/>
            </a:ext>
          </a:extLst>
        </xdr:cNvPr>
        <xdr:cNvGrpSpPr/>
      </xdr:nvGrpSpPr>
      <xdr:grpSpPr>
        <a:xfrm>
          <a:off x="3664745" y="1998345"/>
          <a:ext cx="1523999" cy="657225"/>
          <a:chOff x="3514726" y="1790700"/>
          <a:chExt cx="1523999" cy="657225"/>
        </a:xfrm>
      </xdr:grpSpPr>
      <xdr:sp macro="" textlink="">
        <xdr:nvSpPr>
          <xdr:cNvPr id="77" name="フローチャート: 準備 76">
            <a:extLst>
              <a:ext uri="{FF2B5EF4-FFF2-40B4-BE49-F238E27FC236}">
                <a16:creationId xmlns:a16="http://schemas.microsoft.com/office/drawing/2014/main" id="{BB35F7A7-6F40-C8C4-908C-264FED14E634}"/>
              </a:ext>
            </a:extLst>
          </xdr:cNvPr>
          <xdr:cNvSpPr/>
        </xdr:nvSpPr>
        <xdr:spPr>
          <a:xfrm>
            <a:off x="3514726" y="1790700"/>
            <a:ext cx="1314449" cy="485775"/>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78" name="テキスト ボックス 77">
            <a:extLst>
              <a:ext uri="{FF2B5EF4-FFF2-40B4-BE49-F238E27FC236}">
                <a16:creationId xmlns:a16="http://schemas.microsoft.com/office/drawing/2014/main" id="{B19DA775-B71F-C1F1-0622-B9D4F56A6654}"/>
              </a:ext>
            </a:extLst>
          </xdr:cNvPr>
          <xdr:cNvSpPr txBox="1"/>
        </xdr:nvSpPr>
        <xdr:spPr>
          <a:xfrm>
            <a:off x="3686175" y="1885951"/>
            <a:ext cx="1352550" cy="56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工場</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7</xdr:col>
      <xdr:colOff>571500</xdr:colOff>
      <xdr:row>8</xdr:row>
      <xdr:rowOff>93345</xdr:rowOff>
    </xdr:from>
    <xdr:to>
      <xdr:col>10</xdr:col>
      <xdr:colOff>95250</xdr:colOff>
      <xdr:row>11</xdr:row>
      <xdr:rowOff>36195</xdr:rowOff>
    </xdr:to>
    <xdr:grpSp>
      <xdr:nvGrpSpPr>
        <xdr:cNvPr id="79" name="グループ化 78">
          <a:extLst>
            <a:ext uri="{FF2B5EF4-FFF2-40B4-BE49-F238E27FC236}">
              <a16:creationId xmlns:a16="http://schemas.microsoft.com/office/drawing/2014/main" id="{E6C2E583-CCBA-4A5B-99D8-A18B9ECFE832}"/>
            </a:ext>
          </a:extLst>
        </xdr:cNvPr>
        <xdr:cNvGrpSpPr/>
      </xdr:nvGrpSpPr>
      <xdr:grpSpPr>
        <a:xfrm>
          <a:off x="5372100" y="1998345"/>
          <a:ext cx="1581150" cy="657225"/>
          <a:chOff x="5219701" y="1790700"/>
          <a:chExt cx="1581150" cy="657225"/>
        </a:xfrm>
      </xdr:grpSpPr>
      <xdr:sp macro="" textlink="">
        <xdr:nvSpPr>
          <xdr:cNvPr id="80" name="フローチャート: 準備 79">
            <a:extLst>
              <a:ext uri="{FF2B5EF4-FFF2-40B4-BE49-F238E27FC236}">
                <a16:creationId xmlns:a16="http://schemas.microsoft.com/office/drawing/2014/main" id="{71509803-B5BD-918F-7630-D72D0B40E1D4}"/>
              </a:ext>
            </a:extLst>
          </xdr:cNvPr>
          <xdr:cNvSpPr/>
        </xdr:nvSpPr>
        <xdr:spPr>
          <a:xfrm>
            <a:off x="5219701" y="1790700"/>
            <a:ext cx="1581150" cy="485775"/>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81" name="テキスト ボックス 80">
            <a:extLst>
              <a:ext uri="{FF2B5EF4-FFF2-40B4-BE49-F238E27FC236}">
                <a16:creationId xmlns:a16="http://schemas.microsoft.com/office/drawing/2014/main" id="{F17ED4AC-6196-742D-7C8C-30B32028D166}"/>
              </a:ext>
            </a:extLst>
          </xdr:cNvPr>
          <xdr:cNvSpPr txBox="1"/>
        </xdr:nvSpPr>
        <xdr:spPr>
          <a:xfrm>
            <a:off x="5391150" y="1885951"/>
            <a:ext cx="1352550" cy="56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宿泊施設</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10</xdr:col>
      <xdr:colOff>428626</xdr:colOff>
      <xdr:row>8</xdr:row>
      <xdr:rowOff>88911</xdr:rowOff>
    </xdr:from>
    <xdr:to>
      <xdr:col>12</xdr:col>
      <xdr:colOff>638176</xdr:colOff>
      <xdr:row>10</xdr:row>
      <xdr:rowOff>175260</xdr:rowOff>
    </xdr:to>
    <xdr:grpSp>
      <xdr:nvGrpSpPr>
        <xdr:cNvPr id="82" name="グループ化 81">
          <a:extLst>
            <a:ext uri="{FF2B5EF4-FFF2-40B4-BE49-F238E27FC236}">
              <a16:creationId xmlns:a16="http://schemas.microsoft.com/office/drawing/2014/main" id="{EF0DFDB5-439B-4FD8-8FA3-658A8B115A58}"/>
            </a:ext>
          </a:extLst>
        </xdr:cNvPr>
        <xdr:cNvGrpSpPr/>
      </xdr:nvGrpSpPr>
      <xdr:grpSpPr>
        <a:xfrm>
          <a:off x="7286626" y="1993911"/>
          <a:ext cx="1581150" cy="562599"/>
          <a:chOff x="7134226" y="3517911"/>
          <a:chExt cx="1550670" cy="543549"/>
        </a:xfrm>
      </xdr:grpSpPr>
      <xdr:sp macro="" textlink="">
        <xdr:nvSpPr>
          <xdr:cNvPr id="83" name="フローチャート: 準備 82">
            <a:extLst>
              <a:ext uri="{FF2B5EF4-FFF2-40B4-BE49-F238E27FC236}">
                <a16:creationId xmlns:a16="http://schemas.microsoft.com/office/drawing/2014/main" id="{D7DE9797-0D05-D266-FA12-F556EB1FF628}"/>
              </a:ext>
            </a:extLst>
          </xdr:cNvPr>
          <xdr:cNvSpPr/>
        </xdr:nvSpPr>
        <xdr:spPr>
          <a:xfrm>
            <a:off x="7134226" y="3522345"/>
            <a:ext cx="1550670" cy="469848"/>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84" name="テキスト ボックス 83">
            <a:extLst>
              <a:ext uri="{FF2B5EF4-FFF2-40B4-BE49-F238E27FC236}">
                <a16:creationId xmlns:a16="http://schemas.microsoft.com/office/drawing/2014/main" id="{C0583CD0-CA2D-B097-CCD4-B2A998A60212}"/>
              </a:ext>
            </a:extLst>
          </xdr:cNvPr>
          <xdr:cNvSpPr txBox="1"/>
        </xdr:nvSpPr>
        <xdr:spPr>
          <a:xfrm>
            <a:off x="7311711" y="3517911"/>
            <a:ext cx="1326477" cy="543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データセンター、サーバ室</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ですか</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2</xdr:col>
      <xdr:colOff>396240</xdr:colOff>
      <xdr:row>12</xdr:row>
      <xdr:rowOff>47626</xdr:rowOff>
    </xdr:from>
    <xdr:to>
      <xdr:col>5</xdr:col>
      <xdr:colOff>53340</xdr:colOff>
      <xdr:row>15</xdr:row>
      <xdr:rowOff>137160</xdr:rowOff>
    </xdr:to>
    <xdr:sp macro="" textlink="">
      <xdr:nvSpPr>
        <xdr:cNvPr id="85" name="フローチャート: 準備 84">
          <a:extLst>
            <a:ext uri="{FF2B5EF4-FFF2-40B4-BE49-F238E27FC236}">
              <a16:creationId xmlns:a16="http://schemas.microsoft.com/office/drawing/2014/main" id="{1AB24360-AB1C-4B3C-A9EB-18E72D2210A0}"/>
            </a:ext>
          </a:extLst>
        </xdr:cNvPr>
        <xdr:cNvSpPr/>
      </xdr:nvSpPr>
      <xdr:spPr>
        <a:xfrm>
          <a:off x="1767840" y="2905126"/>
          <a:ext cx="1714500" cy="803909"/>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営業時間は</a:t>
          </a:r>
          <a:endPar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a:p>
          <a:pPr algn="ct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定まっていますか？</a:t>
          </a:r>
        </a:p>
      </xdr:txBody>
    </xdr:sp>
    <xdr:clientData/>
  </xdr:twoCellAnchor>
  <xdr:oneCellAnchor>
    <xdr:from>
      <xdr:col>4</xdr:col>
      <xdr:colOff>379095</xdr:colOff>
      <xdr:row>8</xdr:row>
      <xdr:rowOff>15240</xdr:rowOff>
    </xdr:from>
    <xdr:ext cx="560410" cy="259045"/>
    <xdr:sp macro="" textlink="">
      <xdr:nvSpPr>
        <xdr:cNvPr id="86" name="テキスト ボックス 85">
          <a:extLst>
            <a:ext uri="{FF2B5EF4-FFF2-40B4-BE49-F238E27FC236}">
              <a16:creationId xmlns:a16="http://schemas.microsoft.com/office/drawing/2014/main" id="{FE6A5642-9E4C-4E0D-A78A-497A20F53FD0}"/>
            </a:ext>
          </a:extLst>
        </xdr:cNvPr>
        <xdr:cNvSpPr txBox="1"/>
      </xdr:nvSpPr>
      <xdr:spPr>
        <a:xfrm>
          <a:off x="3122295" y="192024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7</xdr:col>
      <xdr:colOff>49530</xdr:colOff>
      <xdr:row>8</xdr:row>
      <xdr:rowOff>15240</xdr:rowOff>
    </xdr:from>
    <xdr:ext cx="560410" cy="259045"/>
    <xdr:sp macro="" textlink="">
      <xdr:nvSpPr>
        <xdr:cNvPr id="87" name="テキスト ボックス 86">
          <a:extLst>
            <a:ext uri="{FF2B5EF4-FFF2-40B4-BE49-F238E27FC236}">
              <a16:creationId xmlns:a16="http://schemas.microsoft.com/office/drawing/2014/main" id="{01C13773-FF24-46B6-87AF-6CCAD6807299}"/>
            </a:ext>
          </a:extLst>
        </xdr:cNvPr>
        <xdr:cNvSpPr txBox="1"/>
      </xdr:nvSpPr>
      <xdr:spPr>
        <a:xfrm>
          <a:off x="4850130" y="192024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9</xdr:col>
      <xdr:colOff>622935</xdr:colOff>
      <xdr:row>8</xdr:row>
      <xdr:rowOff>15240</xdr:rowOff>
    </xdr:from>
    <xdr:ext cx="560410" cy="259045"/>
    <xdr:sp macro="" textlink="">
      <xdr:nvSpPr>
        <xdr:cNvPr id="88" name="テキスト ボックス 87">
          <a:extLst>
            <a:ext uri="{FF2B5EF4-FFF2-40B4-BE49-F238E27FC236}">
              <a16:creationId xmlns:a16="http://schemas.microsoft.com/office/drawing/2014/main" id="{20660A47-82F8-4E86-BBF1-9D6A016BDFD2}"/>
            </a:ext>
          </a:extLst>
        </xdr:cNvPr>
        <xdr:cNvSpPr txBox="1"/>
      </xdr:nvSpPr>
      <xdr:spPr>
        <a:xfrm>
          <a:off x="6795135" y="192024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0</xdr:col>
      <xdr:colOff>224790</xdr:colOff>
      <xdr:row>32</xdr:row>
      <xdr:rowOff>134303</xdr:rowOff>
    </xdr:from>
    <xdr:ext cx="439864" cy="259045"/>
    <xdr:sp macro="" textlink="">
      <xdr:nvSpPr>
        <xdr:cNvPr id="89" name="テキスト ボックス 88">
          <a:extLst>
            <a:ext uri="{FF2B5EF4-FFF2-40B4-BE49-F238E27FC236}">
              <a16:creationId xmlns:a16="http://schemas.microsoft.com/office/drawing/2014/main" id="{D2BB81C9-AD37-462A-A7E1-50A6768DBCE4}"/>
            </a:ext>
          </a:extLst>
        </xdr:cNvPr>
        <xdr:cNvSpPr txBox="1"/>
      </xdr:nvSpPr>
      <xdr:spPr>
        <a:xfrm>
          <a:off x="224790" y="775430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3</xdr:col>
      <xdr:colOff>361950</xdr:colOff>
      <xdr:row>40</xdr:row>
      <xdr:rowOff>39053</xdr:rowOff>
    </xdr:from>
    <xdr:ext cx="439864" cy="259045"/>
    <xdr:sp macro="" textlink="">
      <xdr:nvSpPr>
        <xdr:cNvPr id="90" name="テキスト ボックス 89">
          <a:extLst>
            <a:ext uri="{FF2B5EF4-FFF2-40B4-BE49-F238E27FC236}">
              <a16:creationId xmlns:a16="http://schemas.microsoft.com/office/drawing/2014/main" id="{23E2A50D-5FFF-4F20-980C-5490B820F91F}"/>
            </a:ext>
          </a:extLst>
        </xdr:cNvPr>
        <xdr:cNvSpPr txBox="1"/>
      </xdr:nvSpPr>
      <xdr:spPr>
        <a:xfrm>
          <a:off x="2419350" y="956405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6</xdr:col>
      <xdr:colOff>281940</xdr:colOff>
      <xdr:row>42</xdr:row>
      <xdr:rowOff>4763</xdr:rowOff>
    </xdr:from>
    <xdr:ext cx="439864" cy="259045"/>
    <xdr:sp macro="" textlink="">
      <xdr:nvSpPr>
        <xdr:cNvPr id="91" name="テキスト ボックス 90">
          <a:extLst>
            <a:ext uri="{FF2B5EF4-FFF2-40B4-BE49-F238E27FC236}">
              <a16:creationId xmlns:a16="http://schemas.microsoft.com/office/drawing/2014/main" id="{F812EBA6-E065-4238-AF14-22CEB875B1B5}"/>
            </a:ext>
          </a:extLst>
        </xdr:cNvPr>
        <xdr:cNvSpPr txBox="1"/>
      </xdr:nvSpPr>
      <xdr:spPr>
        <a:xfrm>
          <a:off x="4396740" y="1000601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3</xdr:col>
      <xdr:colOff>74295</xdr:colOff>
      <xdr:row>15</xdr:row>
      <xdr:rowOff>130493</xdr:rowOff>
    </xdr:from>
    <xdr:ext cx="439864" cy="259045"/>
    <xdr:sp macro="" textlink="">
      <xdr:nvSpPr>
        <xdr:cNvPr id="92" name="テキスト ボックス 91">
          <a:extLst>
            <a:ext uri="{FF2B5EF4-FFF2-40B4-BE49-F238E27FC236}">
              <a16:creationId xmlns:a16="http://schemas.microsoft.com/office/drawing/2014/main" id="{7726430D-B055-4E58-A98E-AAFFAD8A7F16}"/>
            </a:ext>
          </a:extLst>
        </xdr:cNvPr>
        <xdr:cNvSpPr txBox="1"/>
      </xdr:nvSpPr>
      <xdr:spPr>
        <a:xfrm>
          <a:off x="2131695" y="370236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2</xdr:col>
      <xdr:colOff>533400</xdr:colOff>
      <xdr:row>18</xdr:row>
      <xdr:rowOff>51434</xdr:rowOff>
    </xdr:from>
    <xdr:to>
      <xdr:col>5</xdr:col>
      <xdr:colOff>171450</xdr:colOff>
      <xdr:row>20</xdr:row>
      <xdr:rowOff>175259</xdr:rowOff>
    </xdr:to>
    <xdr:sp macro="" textlink="">
      <xdr:nvSpPr>
        <xdr:cNvPr id="93" name="四角形: 対角を丸める 92">
          <a:extLst>
            <a:ext uri="{FF2B5EF4-FFF2-40B4-BE49-F238E27FC236}">
              <a16:creationId xmlns:a16="http://schemas.microsoft.com/office/drawing/2014/main" id="{9D916A45-01CC-479E-8F4B-9228AA7EF22C}"/>
            </a:ext>
          </a:extLst>
        </xdr:cNvPr>
        <xdr:cNvSpPr/>
      </xdr:nvSpPr>
      <xdr:spPr>
        <a:xfrm>
          <a:off x="1905000" y="4337684"/>
          <a:ext cx="1695450" cy="60007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ガイドラインを参照し計算してください</a:t>
          </a:r>
          <a:endParaRPr kumimoji="1" lang="en-US" altLang="ja-JP"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4</xdr:col>
      <xdr:colOff>15240</xdr:colOff>
      <xdr:row>15</xdr:row>
      <xdr:rowOff>125730</xdr:rowOff>
    </xdr:from>
    <xdr:ext cx="560410" cy="259045"/>
    <xdr:sp macro="" textlink="">
      <xdr:nvSpPr>
        <xdr:cNvPr id="94" name="テキスト ボックス 93">
          <a:extLst>
            <a:ext uri="{FF2B5EF4-FFF2-40B4-BE49-F238E27FC236}">
              <a16:creationId xmlns:a16="http://schemas.microsoft.com/office/drawing/2014/main" id="{1D037AD8-E0A2-47F1-8508-328BFA45818B}"/>
            </a:ext>
          </a:extLst>
        </xdr:cNvPr>
        <xdr:cNvSpPr txBox="1"/>
      </xdr:nvSpPr>
      <xdr:spPr>
        <a:xfrm>
          <a:off x="2758440" y="369760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6</xdr:col>
      <xdr:colOff>504825</xdr:colOff>
      <xdr:row>30</xdr:row>
      <xdr:rowOff>15240</xdr:rowOff>
    </xdr:from>
    <xdr:ext cx="560410" cy="259045"/>
    <xdr:sp macro="" textlink="">
      <xdr:nvSpPr>
        <xdr:cNvPr id="95" name="テキスト ボックス 94">
          <a:extLst>
            <a:ext uri="{FF2B5EF4-FFF2-40B4-BE49-F238E27FC236}">
              <a16:creationId xmlns:a16="http://schemas.microsoft.com/office/drawing/2014/main" id="{652D3E17-5DC6-4B70-82AA-8938E95C59B2}"/>
            </a:ext>
          </a:extLst>
        </xdr:cNvPr>
        <xdr:cNvSpPr txBox="1"/>
      </xdr:nvSpPr>
      <xdr:spPr>
        <a:xfrm>
          <a:off x="4619625" y="715899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8</xdr:col>
      <xdr:colOff>590550</xdr:colOff>
      <xdr:row>39</xdr:row>
      <xdr:rowOff>217170</xdr:rowOff>
    </xdr:from>
    <xdr:ext cx="560410" cy="259045"/>
    <xdr:sp macro="" textlink="">
      <xdr:nvSpPr>
        <xdr:cNvPr id="96" name="テキスト ボックス 95">
          <a:extLst>
            <a:ext uri="{FF2B5EF4-FFF2-40B4-BE49-F238E27FC236}">
              <a16:creationId xmlns:a16="http://schemas.microsoft.com/office/drawing/2014/main" id="{3596FF29-66A5-42DE-88A2-DD8391EFD8C9}"/>
            </a:ext>
          </a:extLst>
        </xdr:cNvPr>
        <xdr:cNvSpPr txBox="1"/>
      </xdr:nvSpPr>
      <xdr:spPr>
        <a:xfrm>
          <a:off x="6076950" y="950404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9</xdr:col>
      <xdr:colOff>240030</xdr:colOff>
      <xdr:row>44</xdr:row>
      <xdr:rowOff>48578</xdr:rowOff>
    </xdr:from>
    <xdr:ext cx="439864" cy="259045"/>
    <xdr:sp macro="" textlink="">
      <xdr:nvSpPr>
        <xdr:cNvPr id="97" name="テキスト ボックス 96">
          <a:extLst>
            <a:ext uri="{FF2B5EF4-FFF2-40B4-BE49-F238E27FC236}">
              <a16:creationId xmlns:a16="http://schemas.microsoft.com/office/drawing/2014/main" id="{CD228602-D8DC-41A5-B650-F0123B56610B}"/>
            </a:ext>
          </a:extLst>
        </xdr:cNvPr>
        <xdr:cNvSpPr txBox="1"/>
      </xdr:nvSpPr>
      <xdr:spPr>
        <a:xfrm>
          <a:off x="6412230" y="105260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4</xdr:col>
      <xdr:colOff>114299</xdr:colOff>
      <xdr:row>22</xdr:row>
      <xdr:rowOff>137161</xdr:rowOff>
    </xdr:from>
    <xdr:to>
      <xdr:col>8</xdr:col>
      <xdr:colOff>466724</xdr:colOff>
      <xdr:row>24</xdr:row>
      <xdr:rowOff>41911</xdr:rowOff>
    </xdr:to>
    <xdr:sp macro="" textlink="">
      <xdr:nvSpPr>
        <xdr:cNvPr id="98" name="四角形: 対角を丸める 97">
          <a:extLst>
            <a:ext uri="{FF2B5EF4-FFF2-40B4-BE49-F238E27FC236}">
              <a16:creationId xmlns:a16="http://schemas.microsoft.com/office/drawing/2014/main" id="{9584EDC2-0FDC-43D4-B71A-C031D494A129}"/>
            </a:ext>
          </a:extLst>
        </xdr:cNvPr>
        <xdr:cNvSpPr/>
      </xdr:nvSpPr>
      <xdr:spPr>
        <a:xfrm>
          <a:off x="2857499" y="5375911"/>
          <a:ext cx="3095625" cy="381000"/>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ガイドラインを参照し計算してください</a:t>
          </a:r>
          <a:endParaRPr kumimoji="1" lang="en-US" altLang="ja-JP"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5</xdr:col>
      <xdr:colOff>339090</xdr:colOff>
      <xdr:row>17</xdr:row>
      <xdr:rowOff>191453</xdr:rowOff>
    </xdr:from>
    <xdr:ext cx="439864" cy="259045"/>
    <xdr:sp macro="" textlink="">
      <xdr:nvSpPr>
        <xdr:cNvPr id="99" name="テキスト ボックス 98">
          <a:extLst>
            <a:ext uri="{FF2B5EF4-FFF2-40B4-BE49-F238E27FC236}">
              <a16:creationId xmlns:a16="http://schemas.microsoft.com/office/drawing/2014/main" id="{6950D376-0D8E-42CE-8056-1DD502F8776C}"/>
            </a:ext>
          </a:extLst>
        </xdr:cNvPr>
        <xdr:cNvSpPr txBox="1"/>
      </xdr:nvSpPr>
      <xdr:spPr>
        <a:xfrm>
          <a:off x="3768090" y="42395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9</xdr:col>
      <xdr:colOff>120015</xdr:colOff>
      <xdr:row>17</xdr:row>
      <xdr:rowOff>191453</xdr:rowOff>
    </xdr:from>
    <xdr:ext cx="560410" cy="259045"/>
    <xdr:sp macro="" textlink="">
      <xdr:nvSpPr>
        <xdr:cNvPr id="100" name="テキスト ボックス 99">
          <a:extLst>
            <a:ext uri="{FF2B5EF4-FFF2-40B4-BE49-F238E27FC236}">
              <a16:creationId xmlns:a16="http://schemas.microsoft.com/office/drawing/2014/main" id="{FF61A74D-5486-45F7-8FB7-BBC3E420025C}"/>
            </a:ext>
          </a:extLst>
        </xdr:cNvPr>
        <xdr:cNvSpPr txBox="1"/>
      </xdr:nvSpPr>
      <xdr:spPr>
        <a:xfrm>
          <a:off x="6292215" y="4239578"/>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8</xdr:col>
      <xdr:colOff>129540</xdr:colOff>
      <xdr:row>17</xdr:row>
      <xdr:rowOff>191453</xdr:rowOff>
    </xdr:from>
    <xdr:ext cx="439864" cy="259045"/>
    <xdr:sp macro="" textlink="">
      <xdr:nvSpPr>
        <xdr:cNvPr id="101" name="テキスト ボックス 100">
          <a:extLst>
            <a:ext uri="{FF2B5EF4-FFF2-40B4-BE49-F238E27FC236}">
              <a16:creationId xmlns:a16="http://schemas.microsoft.com/office/drawing/2014/main" id="{7368727C-FE4F-40CE-BEA4-DCE22FE91474}"/>
            </a:ext>
          </a:extLst>
        </xdr:cNvPr>
        <xdr:cNvSpPr txBox="1"/>
      </xdr:nvSpPr>
      <xdr:spPr>
        <a:xfrm>
          <a:off x="5615940" y="42395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6</xdr:col>
      <xdr:colOff>158114</xdr:colOff>
      <xdr:row>26</xdr:row>
      <xdr:rowOff>118111</xdr:rowOff>
    </xdr:from>
    <xdr:to>
      <xdr:col>10</xdr:col>
      <xdr:colOff>510539</xdr:colOff>
      <xdr:row>28</xdr:row>
      <xdr:rowOff>32386</xdr:rowOff>
    </xdr:to>
    <xdr:sp macro="" textlink="">
      <xdr:nvSpPr>
        <xdr:cNvPr id="102" name="四角形: 対角を丸める 101">
          <a:extLst>
            <a:ext uri="{FF2B5EF4-FFF2-40B4-BE49-F238E27FC236}">
              <a16:creationId xmlns:a16="http://schemas.microsoft.com/office/drawing/2014/main" id="{1C95B8F5-6FBA-47EB-9E12-74C1ACAEAC2D}"/>
            </a:ext>
          </a:extLst>
        </xdr:cNvPr>
        <xdr:cNvSpPr/>
      </xdr:nvSpPr>
      <xdr:spPr>
        <a:xfrm>
          <a:off x="4272914" y="6309361"/>
          <a:ext cx="3095625" cy="39052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ガイドラインを参照し計算してください</a:t>
          </a:r>
          <a:endParaRPr kumimoji="1" lang="en-US" altLang="ja-JP"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10</xdr:col>
      <xdr:colOff>320040</xdr:colOff>
      <xdr:row>24</xdr:row>
      <xdr:rowOff>191453</xdr:rowOff>
    </xdr:from>
    <xdr:ext cx="439864" cy="259045"/>
    <xdr:sp macro="" textlink="">
      <xdr:nvSpPr>
        <xdr:cNvPr id="103" name="テキスト ボックス 102">
          <a:extLst>
            <a:ext uri="{FF2B5EF4-FFF2-40B4-BE49-F238E27FC236}">
              <a16:creationId xmlns:a16="http://schemas.microsoft.com/office/drawing/2014/main" id="{C78B2EF0-5BD1-4336-81DE-215CCCBBA980}"/>
            </a:ext>
          </a:extLst>
        </xdr:cNvPr>
        <xdr:cNvSpPr txBox="1"/>
      </xdr:nvSpPr>
      <xdr:spPr>
        <a:xfrm>
          <a:off x="7178040" y="590645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11</xdr:col>
      <xdr:colOff>386715</xdr:colOff>
      <xdr:row>24</xdr:row>
      <xdr:rowOff>191453</xdr:rowOff>
    </xdr:from>
    <xdr:ext cx="560410" cy="259045"/>
    <xdr:sp macro="" textlink="">
      <xdr:nvSpPr>
        <xdr:cNvPr id="104" name="テキスト ボックス 103">
          <a:extLst>
            <a:ext uri="{FF2B5EF4-FFF2-40B4-BE49-F238E27FC236}">
              <a16:creationId xmlns:a16="http://schemas.microsoft.com/office/drawing/2014/main" id="{118CDE0A-8A53-434A-92B0-1D4C8DE2BF19}"/>
            </a:ext>
          </a:extLst>
        </xdr:cNvPr>
        <xdr:cNvSpPr txBox="1"/>
      </xdr:nvSpPr>
      <xdr:spPr>
        <a:xfrm>
          <a:off x="7930515" y="5906453"/>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twoCellAnchor>
    <xdr:from>
      <xdr:col>8</xdr:col>
      <xdr:colOff>139065</xdr:colOff>
      <xdr:row>30</xdr:row>
      <xdr:rowOff>5714</xdr:rowOff>
    </xdr:from>
    <xdr:to>
      <xdr:col>10</xdr:col>
      <xdr:colOff>657225</xdr:colOff>
      <xdr:row>32</xdr:row>
      <xdr:rowOff>139065</xdr:rowOff>
    </xdr:to>
    <xdr:sp macro="" textlink="">
      <xdr:nvSpPr>
        <xdr:cNvPr id="105" name="フローチャート: 準備 104">
          <a:extLst>
            <a:ext uri="{FF2B5EF4-FFF2-40B4-BE49-F238E27FC236}">
              <a16:creationId xmlns:a16="http://schemas.microsoft.com/office/drawing/2014/main" id="{85E27A18-1577-40C1-AF81-A01317AD58A9}"/>
            </a:ext>
          </a:extLst>
        </xdr:cNvPr>
        <xdr:cNvSpPr/>
      </xdr:nvSpPr>
      <xdr:spPr>
        <a:xfrm>
          <a:off x="5625465" y="7149464"/>
          <a:ext cx="1889760" cy="609601"/>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ガスですか？</a:t>
          </a:r>
        </a:p>
      </xdr:txBody>
    </xdr:sp>
    <xdr:clientData/>
  </xdr:twoCellAnchor>
  <xdr:oneCellAnchor>
    <xdr:from>
      <xdr:col>10</xdr:col>
      <xdr:colOff>552450</xdr:colOff>
      <xdr:row>30</xdr:row>
      <xdr:rowOff>15240</xdr:rowOff>
    </xdr:from>
    <xdr:ext cx="560410" cy="259045"/>
    <xdr:sp macro="" textlink="">
      <xdr:nvSpPr>
        <xdr:cNvPr id="106" name="テキスト ボックス 105">
          <a:extLst>
            <a:ext uri="{FF2B5EF4-FFF2-40B4-BE49-F238E27FC236}">
              <a16:creationId xmlns:a16="http://schemas.microsoft.com/office/drawing/2014/main" id="{3BA60A1E-439C-45B2-B88F-AD1F7F137EEF}"/>
            </a:ext>
          </a:extLst>
        </xdr:cNvPr>
        <xdr:cNvSpPr txBox="1"/>
      </xdr:nvSpPr>
      <xdr:spPr>
        <a:xfrm>
          <a:off x="7410450" y="715899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oneCellAnchor>
    <xdr:from>
      <xdr:col>8</xdr:col>
      <xdr:colOff>643890</xdr:colOff>
      <xdr:row>32</xdr:row>
      <xdr:rowOff>134303</xdr:rowOff>
    </xdr:from>
    <xdr:ext cx="439864" cy="259045"/>
    <xdr:sp macro="" textlink="">
      <xdr:nvSpPr>
        <xdr:cNvPr id="107" name="テキスト ボックス 106">
          <a:extLst>
            <a:ext uri="{FF2B5EF4-FFF2-40B4-BE49-F238E27FC236}">
              <a16:creationId xmlns:a16="http://schemas.microsoft.com/office/drawing/2014/main" id="{1E5C4516-7226-4151-AE2D-E1B17F97DCD4}"/>
            </a:ext>
          </a:extLst>
        </xdr:cNvPr>
        <xdr:cNvSpPr txBox="1"/>
      </xdr:nvSpPr>
      <xdr:spPr>
        <a:xfrm>
          <a:off x="6130290" y="7754303"/>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8</xdr:col>
      <xdr:colOff>468629</xdr:colOff>
      <xdr:row>34</xdr:row>
      <xdr:rowOff>167640</xdr:rowOff>
    </xdr:from>
    <xdr:to>
      <xdr:col>12</xdr:col>
      <xdr:colOff>87629</xdr:colOff>
      <xdr:row>37</xdr:row>
      <xdr:rowOff>34290</xdr:rowOff>
    </xdr:to>
    <xdr:sp macro="" textlink="">
      <xdr:nvSpPr>
        <xdr:cNvPr id="108" name="四角形: 対角を丸める 107">
          <a:extLst>
            <a:ext uri="{FF2B5EF4-FFF2-40B4-BE49-F238E27FC236}">
              <a16:creationId xmlns:a16="http://schemas.microsoft.com/office/drawing/2014/main" id="{8418F14F-22A1-4E2E-8C15-1A02853F37D0}"/>
            </a:ext>
          </a:extLst>
        </xdr:cNvPr>
        <xdr:cNvSpPr/>
      </xdr:nvSpPr>
      <xdr:spPr>
        <a:xfrm>
          <a:off x="5955029" y="8263890"/>
          <a:ext cx="2362200" cy="581025"/>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空調年間活動量算定ツール</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a:t>
          </a:r>
          <a:r>
            <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rPr>
            <a:t>GHP</a:t>
          </a:r>
          <a:r>
            <a:rPr kumimoji="1" lang="ja-JP" altLang="en-US" sz="1100" b="0" cap="none" spc="0" baseline="0">
              <a:ln w="0"/>
              <a:solidFill>
                <a:schemeClr val="tx1"/>
              </a:solidFill>
              <a:effectLst/>
              <a:latin typeface="ＭＳ Ｐゴシック" panose="020B0600070205080204" pitchFamily="50" charset="-128"/>
              <a:ea typeface="ＭＳ Ｐゴシック" panose="020B0600070205080204" pitchFamily="50" charset="-128"/>
            </a:rPr>
            <a:t>版）を利用できます！</a:t>
          </a:r>
          <a:endParaRPr kumimoji="1" lang="en-US" altLang="ja-JP" sz="1100" b="0" cap="none" spc="0" baseline="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11</xdr:col>
      <xdr:colOff>302895</xdr:colOff>
      <xdr:row>42</xdr:row>
      <xdr:rowOff>14288</xdr:rowOff>
    </xdr:from>
    <xdr:ext cx="560410" cy="259045"/>
    <xdr:sp macro="" textlink="">
      <xdr:nvSpPr>
        <xdr:cNvPr id="109" name="テキスト ボックス 108">
          <a:extLst>
            <a:ext uri="{FF2B5EF4-FFF2-40B4-BE49-F238E27FC236}">
              <a16:creationId xmlns:a16="http://schemas.microsoft.com/office/drawing/2014/main" id="{18CE9E05-263E-4251-9B98-A2385B98719B}"/>
            </a:ext>
          </a:extLst>
        </xdr:cNvPr>
        <xdr:cNvSpPr txBox="1"/>
      </xdr:nvSpPr>
      <xdr:spPr>
        <a:xfrm>
          <a:off x="7846695" y="10015538"/>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いいえ</a:t>
          </a:r>
        </a:p>
      </xdr:txBody>
    </xdr:sp>
    <xdr:clientData/>
  </xdr:oneCellAnchor>
  <xdr:twoCellAnchor>
    <xdr:from>
      <xdr:col>4</xdr:col>
      <xdr:colOff>422910</xdr:colOff>
      <xdr:row>11</xdr:row>
      <xdr:rowOff>22860</xdr:rowOff>
    </xdr:from>
    <xdr:to>
      <xdr:col>5</xdr:col>
      <xdr:colOff>41910</xdr:colOff>
      <xdr:row>12</xdr:row>
      <xdr:rowOff>96231</xdr:rowOff>
    </xdr:to>
    <xdr:grpSp>
      <xdr:nvGrpSpPr>
        <xdr:cNvPr id="110" name="グループ化 109">
          <a:extLst>
            <a:ext uri="{FF2B5EF4-FFF2-40B4-BE49-F238E27FC236}">
              <a16:creationId xmlns:a16="http://schemas.microsoft.com/office/drawing/2014/main" id="{FE2B75DF-1002-4699-BB38-E6B3CF3851F3}"/>
            </a:ext>
          </a:extLst>
        </xdr:cNvPr>
        <xdr:cNvGrpSpPr/>
      </xdr:nvGrpSpPr>
      <xdr:grpSpPr>
        <a:xfrm>
          <a:off x="3166110" y="2642235"/>
          <a:ext cx="304800" cy="311496"/>
          <a:chOff x="3028950" y="2628900"/>
          <a:chExt cx="304800" cy="311496"/>
        </a:xfrm>
      </xdr:grpSpPr>
      <xdr:sp macro="" textlink="">
        <xdr:nvSpPr>
          <xdr:cNvPr id="111" name="テキスト ボックス 110">
            <a:extLst>
              <a:ext uri="{FF2B5EF4-FFF2-40B4-BE49-F238E27FC236}">
                <a16:creationId xmlns:a16="http://schemas.microsoft.com/office/drawing/2014/main" id="{55738D60-F4B3-9144-82DE-36DCE09B462D}"/>
              </a:ext>
            </a:extLst>
          </xdr:cNvPr>
          <xdr:cNvSpPr txBox="1"/>
        </xdr:nvSpPr>
        <xdr:spPr>
          <a:xfrm>
            <a:off x="3028950" y="2628900"/>
            <a:ext cx="30480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a:t>
            </a:r>
            <a:endParaRPr kumimoji="1" lang="ja-JP" altLang="en-US" sz="1400"/>
          </a:p>
        </xdr:txBody>
      </xdr:sp>
      <xdr:sp macro="" textlink="">
        <xdr:nvSpPr>
          <xdr:cNvPr id="112" name="楕円 111">
            <a:extLst>
              <a:ext uri="{FF2B5EF4-FFF2-40B4-BE49-F238E27FC236}">
                <a16:creationId xmlns:a16="http://schemas.microsoft.com/office/drawing/2014/main" id="{EB802885-5B26-E267-F0DF-F1DDCF132B17}"/>
              </a:ext>
            </a:extLst>
          </xdr:cNvPr>
          <xdr:cNvSpPr/>
        </xdr:nvSpPr>
        <xdr:spPr>
          <a:xfrm>
            <a:off x="3038475" y="2676525"/>
            <a:ext cx="247650" cy="2476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139065</xdr:colOff>
      <xdr:row>13</xdr:row>
      <xdr:rowOff>102870</xdr:rowOff>
    </xdr:from>
    <xdr:to>
      <xdr:col>7</xdr:col>
      <xdr:colOff>443865</xdr:colOff>
      <xdr:row>15</xdr:row>
      <xdr:rowOff>157278</xdr:rowOff>
    </xdr:to>
    <xdr:grpSp>
      <xdr:nvGrpSpPr>
        <xdr:cNvPr id="113" name="グループ化 112">
          <a:extLst>
            <a:ext uri="{FF2B5EF4-FFF2-40B4-BE49-F238E27FC236}">
              <a16:creationId xmlns:a16="http://schemas.microsoft.com/office/drawing/2014/main" id="{0D5822D0-C4F4-44F3-9754-095D70AB727A}"/>
            </a:ext>
          </a:extLst>
        </xdr:cNvPr>
        <xdr:cNvGrpSpPr/>
      </xdr:nvGrpSpPr>
      <xdr:grpSpPr>
        <a:xfrm>
          <a:off x="4939665" y="3198495"/>
          <a:ext cx="304800" cy="530658"/>
          <a:chOff x="4962525" y="3228975"/>
          <a:chExt cx="304800" cy="530658"/>
        </a:xfrm>
      </xdr:grpSpPr>
      <xdr:sp macro="" textlink="">
        <xdr:nvSpPr>
          <xdr:cNvPr id="114" name="テキスト ボックス 113">
            <a:extLst>
              <a:ext uri="{FF2B5EF4-FFF2-40B4-BE49-F238E27FC236}">
                <a16:creationId xmlns:a16="http://schemas.microsoft.com/office/drawing/2014/main" id="{1B43D205-6472-0EB5-8690-D65E2345F37E}"/>
              </a:ext>
            </a:extLst>
          </xdr:cNvPr>
          <xdr:cNvSpPr txBox="1"/>
        </xdr:nvSpPr>
        <xdr:spPr>
          <a:xfrm>
            <a:off x="4962525" y="3228975"/>
            <a:ext cx="304800"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b</a:t>
            </a:r>
          </a:p>
          <a:p>
            <a:endParaRPr kumimoji="1" lang="ja-JP" altLang="en-US" sz="1400"/>
          </a:p>
        </xdr:txBody>
      </xdr:sp>
      <xdr:sp macro="" textlink="">
        <xdr:nvSpPr>
          <xdr:cNvPr id="115" name="楕円 114">
            <a:extLst>
              <a:ext uri="{FF2B5EF4-FFF2-40B4-BE49-F238E27FC236}">
                <a16:creationId xmlns:a16="http://schemas.microsoft.com/office/drawing/2014/main" id="{2B42C680-45CE-46DC-D3EC-DDF4872E628C}"/>
              </a:ext>
            </a:extLst>
          </xdr:cNvPr>
          <xdr:cNvSpPr/>
        </xdr:nvSpPr>
        <xdr:spPr>
          <a:xfrm>
            <a:off x="4972050" y="3267075"/>
            <a:ext cx="247650" cy="2476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85725</xdr:colOff>
      <xdr:row>51</xdr:row>
      <xdr:rowOff>140971</xdr:rowOff>
    </xdr:from>
    <xdr:to>
      <xdr:col>3</xdr:col>
      <xdr:colOff>626745</xdr:colOff>
      <xdr:row>54</xdr:row>
      <xdr:rowOff>112396</xdr:rowOff>
    </xdr:to>
    <xdr:grpSp>
      <xdr:nvGrpSpPr>
        <xdr:cNvPr id="116" name="グループ化 115">
          <a:extLst>
            <a:ext uri="{FF2B5EF4-FFF2-40B4-BE49-F238E27FC236}">
              <a16:creationId xmlns:a16="http://schemas.microsoft.com/office/drawing/2014/main" id="{B0A4F4C7-6E74-4A54-B219-FD923ADA6022}"/>
            </a:ext>
          </a:extLst>
        </xdr:cNvPr>
        <xdr:cNvGrpSpPr/>
      </xdr:nvGrpSpPr>
      <xdr:grpSpPr>
        <a:xfrm>
          <a:off x="85725" y="12285346"/>
          <a:ext cx="2598420" cy="685800"/>
          <a:chOff x="85725" y="11830051"/>
          <a:chExt cx="2552700" cy="657225"/>
        </a:xfrm>
      </xdr:grpSpPr>
      <xdr:sp macro="" textlink="">
        <xdr:nvSpPr>
          <xdr:cNvPr id="117" name="正方形/長方形 116">
            <a:extLst>
              <a:ext uri="{FF2B5EF4-FFF2-40B4-BE49-F238E27FC236}">
                <a16:creationId xmlns:a16="http://schemas.microsoft.com/office/drawing/2014/main" id="{838CC20E-DD12-CEAB-14B8-D68A7EB6CD54}"/>
              </a:ext>
            </a:extLst>
          </xdr:cNvPr>
          <xdr:cNvSpPr/>
        </xdr:nvSpPr>
        <xdr:spPr>
          <a:xfrm>
            <a:off x="85725" y="11830051"/>
            <a:ext cx="2354580" cy="657225"/>
          </a:xfrm>
          <a:prstGeom prst="rect">
            <a:avLst/>
          </a:prstGeom>
          <a:noFill/>
          <a:ln w="317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effectLst/>
              <a:latin typeface="ＭＳ Ｐゴシック" panose="020B0600070205080204" pitchFamily="50" charset="-128"/>
              <a:ea typeface="ＭＳ Ｐゴシック" panose="020B0600070205080204" pitchFamily="50" charset="-128"/>
            </a:endParaRPr>
          </a:p>
        </xdr:txBody>
      </xdr:sp>
      <xdr:sp macro="" textlink="">
        <xdr:nvSpPr>
          <xdr:cNvPr id="118" name="テキスト ボックス 117">
            <a:extLst>
              <a:ext uri="{FF2B5EF4-FFF2-40B4-BE49-F238E27FC236}">
                <a16:creationId xmlns:a16="http://schemas.microsoft.com/office/drawing/2014/main" id="{52BFFA7D-0A66-0C79-4F35-B8705DBE5711}"/>
              </a:ext>
            </a:extLst>
          </xdr:cNvPr>
          <xdr:cNvSpPr txBox="1"/>
        </xdr:nvSpPr>
        <xdr:spPr>
          <a:xfrm>
            <a:off x="114300" y="11944350"/>
            <a:ext cx="25241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effectLst/>
                <a:latin typeface="ＭＳ Ｐゴシック" panose="020B0600070205080204" pitchFamily="50" charset="-128"/>
                <a:ea typeface="ＭＳ Ｐゴシック" panose="020B0600070205080204" pitchFamily="50" charset="-128"/>
              </a:rPr>
              <a:t>設備の分類が不明の場合は、</a:t>
            </a:r>
            <a:endParaRPr kumimoji="1" lang="en-US" altLang="ja-JP" sz="1100" b="1">
              <a:effectLst/>
              <a:latin typeface="ＭＳ Ｐゴシック" panose="020B0600070205080204" pitchFamily="50" charset="-128"/>
              <a:ea typeface="ＭＳ Ｐゴシック" panose="020B0600070205080204" pitchFamily="50" charset="-128"/>
            </a:endParaRPr>
          </a:p>
          <a:p>
            <a:r>
              <a:rPr kumimoji="1" lang="ja-JP" altLang="en-US" sz="1100" b="1">
                <a:effectLst/>
                <a:latin typeface="ＭＳ Ｐゴシック" panose="020B0600070205080204" pitchFamily="50" charset="-128"/>
                <a:ea typeface="ＭＳ Ｐゴシック" panose="020B0600070205080204" pitchFamily="50" charset="-128"/>
              </a:rPr>
              <a:t>管理保守会社等にご相談ください。</a:t>
            </a:r>
          </a:p>
        </xdr:txBody>
      </xdr:sp>
    </xdr:grpSp>
    <xdr:clientData/>
  </xdr:twoCellAnchor>
  <xdr:oneCellAnchor>
    <xdr:from>
      <xdr:col>3</xdr:col>
      <xdr:colOff>123825</xdr:colOff>
      <xdr:row>10</xdr:row>
      <xdr:rowOff>105728</xdr:rowOff>
    </xdr:from>
    <xdr:ext cx="439864" cy="259045"/>
    <xdr:sp macro="" textlink="">
      <xdr:nvSpPr>
        <xdr:cNvPr id="119" name="テキスト ボックス 118">
          <a:extLst>
            <a:ext uri="{FF2B5EF4-FFF2-40B4-BE49-F238E27FC236}">
              <a16:creationId xmlns:a16="http://schemas.microsoft.com/office/drawing/2014/main" id="{C4BC5F03-6F83-45D0-AC7F-26FF138DA961}"/>
            </a:ext>
          </a:extLst>
        </xdr:cNvPr>
        <xdr:cNvSpPr txBox="1"/>
      </xdr:nvSpPr>
      <xdr:spPr>
        <a:xfrm>
          <a:off x="2181225" y="24869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5</xdr:col>
      <xdr:colOff>436245</xdr:colOff>
      <xdr:row>10</xdr:row>
      <xdr:rowOff>105728</xdr:rowOff>
    </xdr:from>
    <xdr:ext cx="439864" cy="259045"/>
    <xdr:sp macro="" textlink="">
      <xdr:nvSpPr>
        <xdr:cNvPr id="120" name="テキスト ボックス 119">
          <a:extLst>
            <a:ext uri="{FF2B5EF4-FFF2-40B4-BE49-F238E27FC236}">
              <a16:creationId xmlns:a16="http://schemas.microsoft.com/office/drawing/2014/main" id="{6EE49035-100D-40D2-9B96-0BCA928C7303}"/>
            </a:ext>
          </a:extLst>
        </xdr:cNvPr>
        <xdr:cNvSpPr txBox="1"/>
      </xdr:nvSpPr>
      <xdr:spPr>
        <a:xfrm>
          <a:off x="3865245" y="24869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oneCellAnchor>
    <xdr:from>
      <xdr:col>8</xdr:col>
      <xdr:colOff>215265</xdr:colOff>
      <xdr:row>10</xdr:row>
      <xdr:rowOff>105728</xdr:rowOff>
    </xdr:from>
    <xdr:ext cx="439864" cy="259045"/>
    <xdr:sp macro="" textlink="">
      <xdr:nvSpPr>
        <xdr:cNvPr id="121" name="テキスト ボックス 120">
          <a:extLst>
            <a:ext uri="{FF2B5EF4-FFF2-40B4-BE49-F238E27FC236}">
              <a16:creationId xmlns:a16="http://schemas.microsoft.com/office/drawing/2014/main" id="{C4D7D952-DEC9-4E29-A52F-2D02C89BF1D7}"/>
            </a:ext>
          </a:extLst>
        </xdr:cNvPr>
        <xdr:cNvSpPr txBox="1"/>
      </xdr:nvSpPr>
      <xdr:spPr>
        <a:xfrm>
          <a:off x="5701665" y="2486978"/>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ＭＳ Ｐゴシック" panose="020B0600070205080204" pitchFamily="50" charset="-128"/>
              <a:ea typeface="ＭＳ Ｐゴシック" panose="020B0600070205080204" pitchFamily="50" charset="-128"/>
            </a:rPr>
            <a:t>はい</a:t>
          </a:r>
        </a:p>
      </xdr:txBody>
    </xdr:sp>
    <xdr:clientData/>
  </xdr:oneCellAnchor>
  <xdr:twoCellAnchor>
    <xdr:from>
      <xdr:col>10</xdr:col>
      <xdr:colOff>11431</xdr:colOff>
      <xdr:row>21</xdr:row>
      <xdr:rowOff>1905</xdr:rowOff>
    </xdr:from>
    <xdr:to>
      <xdr:col>12</xdr:col>
      <xdr:colOff>224791</xdr:colOff>
      <xdr:row>24</xdr:row>
      <xdr:rowOff>154304</xdr:rowOff>
    </xdr:to>
    <xdr:sp macro="" textlink="">
      <xdr:nvSpPr>
        <xdr:cNvPr id="122" name="フローチャート: 準備 121">
          <a:extLst>
            <a:ext uri="{FF2B5EF4-FFF2-40B4-BE49-F238E27FC236}">
              <a16:creationId xmlns:a16="http://schemas.microsoft.com/office/drawing/2014/main" id="{A8247121-6D2A-49F6-BD72-F444D5DAF3B4}"/>
            </a:ext>
          </a:extLst>
        </xdr:cNvPr>
        <xdr:cNvSpPr/>
      </xdr:nvSpPr>
      <xdr:spPr>
        <a:xfrm>
          <a:off x="6869431" y="5002530"/>
          <a:ext cx="1584960" cy="866774"/>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左記条件</a:t>
          </a:r>
          <a:r>
            <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を満たしていますか？</a:t>
          </a:r>
        </a:p>
      </xdr:txBody>
    </xdr:sp>
    <xdr:clientData/>
  </xdr:twoCellAnchor>
  <xdr:twoCellAnchor>
    <xdr:from>
      <xdr:col>7</xdr:col>
      <xdr:colOff>502920</xdr:colOff>
      <xdr:row>14</xdr:row>
      <xdr:rowOff>91440</xdr:rowOff>
    </xdr:from>
    <xdr:to>
      <xdr:col>10</xdr:col>
      <xdr:colOff>211455</xdr:colOff>
      <xdr:row>17</xdr:row>
      <xdr:rowOff>186690</xdr:rowOff>
    </xdr:to>
    <xdr:sp macro="" textlink="">
      <xdr:nvSpPr>
        <xdr:cNvPr id="123" name="フローチャート: 準備 122">
          <a:extLst>
            <a:ext uri="{FF2B5EF4-FFF2-40B4-BE49-F238E27FC236}">
              <a16:creationId xmlns:a16="http://schemas.microsoft.com/office/drawing/2014/main" id="{1229D345-0966-45F5-B24D-EFF10D3EFF42}"/>
            </a:ext>
          </a:extLst>
        </xdr:cNvPr>
        <xdr:cNvSpPr/>
      </xdr:nvSpPr>
      <xdr:spPr>
        <a:xfrm>
          <a:off x="5303520" y="3425190"/>
          <a:ext cx="1765935" cy="809625"/>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7620</xdr:colOff>
      <xdr:row>14</xdr:row>
      <xdr:rowOff>85726</xdr:rowOff>
    </xdr:from>
    <xdr:to>
      <xdr:col>7</xdr:col>
      <xdr:colOff>441960</xdr:colOff>
      <xdr:row>17</xdr:row>
      <xdr:rowOff>198120</xdr:rowOff>
    </xdr:to>
    <xdr:sp macro="" textlink="">
      <xdr:nvSpPr>
        <xdr:cNvPr id="124" name="フローチャート: 準備 123">
          <a:extLst>
            <a:ext uri="{FF2B5EF4-FFF2-40B4-BE49-F238E27FC236}">
              <a16:creationId xmlns:a16="http://schemas.microsoft.com/office/drawing/2014/main" id="{EBBCC701-5597-4479-953A-D903B6B2162E}"/>
            </a:ext>
          </a:extLst>
        </xdr:cNvPr>
        <xdr:cNvSpPr/>
      </xdr:nvSpPr>
      <xdr:spPr>
        <a:xfrm>
          <a:off x="3436620" y="3419476"/>
          <a:ext cx="1805940" cy="826769"/>
        </a:xfrm>
        <a:prstGeom prst="flowChartPreparation">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工業炉等の大きな発熱体はないですか？</a:t>
          </a:r>
        </a:p>
      </xdr:txBody>
    </xdr:sp>
    <xdr:clientData/>
  </xdr:twoCellAnchor>
  <xdr:oneCellAnchor>
    <xdr:from>
      <xdr:col>16</xdr:col>
      <xdr:colOff>426720</xdr:colOff>
      <xdr:row>13</xdr:row>
      <xdr:rowOff>144780</xdr:rowOff>
    </xdr:from>
    <xdr:ext cx="748923" cy="328423"/>
    <xdr:sp macro="" textlink="">
      <xdr:nvSpPr>
        <xdr:cNvPr id="125" name="テキスト ボックス 124">
          <a:extLst>
            <a:ext uri="{FF2B5EF4-FFF2-40B4-BE49-F238E27FC236}">
              <a16:creationId xmlns:a16="http://schemas.microsoft.com/office/drawing/2014/main" id="{658F0799-6277-4423-A49D-0ACC166499EA}"/>
            </a:ext>
          </a:extLst>
        </xdr:cNvPr>
        <xdr:cNvSpPr txBox="1"/>
      </xdr:nvSpPr>
      <xdr:spPr>
        <a:xfrm>
          <a:off x="11399520" y="3240405"/>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kern="1200"/>
            <a:t>　　　　</a:t>
          </a:r>
        </a:p>
      </xdr:txBody>
    </xdr:sp>
    <xdr:clientData/>
  </xdr:oneCellAnchor>
  <xdr:oneCellAnchor>
    <xdr:from>
      <xdr:col>8</xdr:col>
      <xdr:colOff>114301</xdr:colOff>
      <xdr:row>14</xdr:row>
      <xdr:rowOff>182880</xdr:rowOff>
    </xdr:from>
    <xdr:ext cx="1325879" cy="642484"/>
    <xdr:sp macro="" textlink="">
      <xdr:nvSpPr>
        <xdr:cNvPr id="126" name="テキスト ボックス 125">
          <a:extLst>
            <a:ext uri="{FF2B5EF4-FFF2-40B4-BE49-F238E27FC236}">
              <a16:creationId xmlns:a16="http://schemas.microsoft.com/office/drawing/2014/main" id="{69BF041B-1014-45E0-BD0B-3EA518822692}"/>
            </a:ext>
          </a:extLst>
        </xdr:cNvPr>
        <xdr:cNvSpPr txBox="1"/>
      </xdr:nvSpPr>
      <xdr:spPr>
        <a:xfrm>
          <a:off x="5600701" y="3516630"/>
          <a:ext cx="132587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kern="1200">
              <a:effectLst/>
              <a:latin typeface="Arial" panose="020B0604020202020204" pitchFamily="34" charset="0"/>
              <a:ea typeface="ＭＳ Ｐゴシック" panose="020B0600070205080204" pitchFamily="50" charset="-128"/>
              <a:cs typeface="Arial" panose="020B0604020202020204" pitchFamily="34" charset="0"/>
            </a:rPr>
            <a:t>就寝時（の空調の有無）を把握してますか？</a:t>
          </a:r>
        </a:p>
      </xdr:txBody>
    </xdr:sp>
    <xdr:clientData/>
  </xdr:oneCellAnchor>
  <xdr:twoCellAnchor>
    <xdr:from>
      <xdr:col>0</xdr:col>
      <xdr:colOff>666094</xdr:colOff>
      <xdr:row>6</xdr:row>
      <xdr:rowOff>95246</xdr:rowOff>
    </xdr:from>
    <xdr:to>
      <xdr:col>0</xdr:col>
      <xdr:colOff>666094</xdr:colOff>
      <xdr:row>8</xdr:row>
      <xdr:rowOff>76413</xdr:rowOff>
    </xdr:to>
    <xdr:cxnSp macro="">
      <xdr:nvCxnSpPr>
        <xdr:cNvPr id="127" name="直線矢印コネクタ 126">
          <a:extLst>
            <a:ext uri="{FF2B5EF4-FFF2-40B4-BE49-F238E27FC236}">
              <a16:creationId xmlns:a16="http://schemas.microsoft.com/office/drawing/2014/main" id="{4B296197-6CD7-4F08-8DFF-69F5B822E41F}"/>
            </a:ext>
          </a:extLst>
        </xdr:cNvPr>
        <xdr:cNvCxnSpPr/>
      </xdr:nvCxnSpPr>
      <xdr:spPr>
        <a:xfrm>
          <a:off x="666094" y="1523996"/>
          <a:ext cx="0" cy="457417"/>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571499</xdr:colOff>
      <xdr:row>43</xdr:row>
      <xdr:rowOff>126999</xdr:rowOff>
    </xdr:from>
    <xdr:to>
      <xdr:col>1</xdr:col>
      <xdr:colOff>63582</xdr:colOff>
      <xdr:row>44</xdr:row>
      <xdr:rowOff>135583</xdr:rowOff>
    </xdr:to>
    <xdr:sp macro="" textlink="">
      <xdr:nvSpPr>
        <xdr:cNvPr id="128" name="矢印: 下 127">
          <a:extLst>
            <a:ext uri="{FF2B5EF4-FFF2-40B4-BE49-F238E27FC236}">
              <a16:creationId xmlns:a16="http://schemas.microsoft.com/office/drawing/2014/main" id="{4B2D4114-50FF-4F9B-BD8E-30218E7D42A1}"/>
            </a:ext>
          </a:extLst>
        </xdr:cNvPr>
        <xdr:cNvSpPr/>
      </xdr:nvSpPr>
      <xdr:spPr>
        <a:xfrm>
          <a:off x="571499" y="10366374"/>
          <a:ext cx="177883" cy="246709"/>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336020</xdr:colOff>
      <xdr:row>44</xdr:row>
      <xdr:rowOff>100541</xdr:rowOff>
    </xdr:from>
    <xdr:to>
      <xdr:col>1</xdr:col>
      <xdr:colOff>304269</xdr:colOff>
      <xdr:row>45</xdr:row>
      <xdr:rowOff>142874</xdr:rowOff>
    </xdr:to>
    <xdr:sp macro="" textlink="">
      <xdr:nvSpPr>
        <xdr:cNvPr id="129" name="テキスト ボックス 128">
          <a:extLst>
            <a:ext uri="{FF2B5EF4-FFF2-40B4-BE49-F238E27FC236}">
              <a16:creationId xmlns:a16="http://schemas.microsoft.com/office/drawing/2014/main" id="{BAA03FA1-F631-449D-9E22-BD846689084A}"/>
            </a:ext>
          </a:extLst>
        </xdr:cNvPr>
        <xdr:cNvSpPr txBox="1"/>
      </xdr:nvSpPr>
      <xdr:spPr>
        <a:xfrm>
          <a:off x="336020" y="10578041"/>
          <a:ext cx="654049"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twoCellAnchor>
    <xdr:from>
      <xdr:col>4</xdr:col>
      <xdr:colOff>88899</xdr:colOff>
      <xdr:row>46</xdr:row>
      <xdr:rowOff>226483</xdr:rowOff>
    </xdr:from>
    <xdr:to>
      <xdr:col>4</xdr:col>
      <xdr:colOff>268899</xdr:colOff>
      <xdr:row>47</xdr:row>
      <xdr:rowOff>235067</xdr:rowOff>
    </xdr:to>
    <xdr:sp macro="" textlink="">
      <xdr:nvSpPr>
        <xdr:cNvPr id="130" name="矢印: 下 129">
          <a:extLst>
            <a:ext uri="{FF2B5EF4-FFF2-40B4-BE49-F238E27FC236}">
              <a16:creationId xmlns:a16="http://schemas.microsoft.com/office/drawing/2014/main" id="{02B486BA-51BB-4440-A5AA-F59557486FF3}"/>
            </a:ext>
          </a:extLst>
        </xdr:cNvPr>
        <xdr:cNvSpPr/>
      </xdr:nvSpPr>
      <xdr:spPr>
        <a:xfrm>
          <a:off x="2832099" y="11180233"/>
          <a:ext cx="180000" cy="246709"/>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520172</xdr:colOff>
      <xdr:row>47</xdr:row>
      <xdr:rowOff>215900</xdr:rowOff>
    </xdr:from>
    <xdr:to>
      <xdr:col>4</xdr:col>
      <xdr:colOff>488421</xdr:colOff>
      <xdr:row>49</xdr:row>
      <xdr:rowOff>20108</xdr:rowOff>
    </xdr:to>
    <xdr:sp macro="" textlink="">
      <xdr:nvSpPr>
        <xdr:cNvPr id="131" name="テキスト ボックス 130">
          <a:extLst>
            <a:ext uri="{FF2B5EF4-FFF2-40B4-BE49-F238E27FC236}">
              <a16:creationId xmlns:a16="http://schemas.microsoft.com/office/drawing/2014/main" id="{47461B31-A16D-4592-88E7-57012F48261E}"/>
            </a:ext>
          </a:extLst>
        </xdr:cNvPr>
        <xdr:cNvSpPr txBox="1"/>
      </xdr:nvSpPr>
      <xdr:spPr>
        <a:xfrm>
          <a:off x="2577572" y="11407775"/>
          <a:ext cx="654049"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twoCellAnchor>
    <xdr:from>
      <xdr:col>7</xdr:col>
      <xdr:colOff>29632</xdr:colOff>
      <xdr:row>50</xdr:row>
      <xdr:rowOff>19050</xdr:rowOff>
    </xdr:from>
    <xdr:to>
      <xdr:col>7</xdr:col>
      <xdr:colOff>209632</xdr:colOff>
      <xdr:row>51</xdr:row>
      <xdr:rowOff>27633</xdr:rowOff>
    </xdr:to>
    <xdr:sp macro="" textlink="">
      <xdr:nvSpPr>
        <xdr:cNvPr id="132" name="矢印: 下 131">
          <a:extLst>
            <a:ext uri="{FF2B5EF4-FFF2-40B4-BE49-F238E27FC236}">
              <a16:creationId xmlns:a16="http://schemas.microsoft.com/office/drawing/2014/main" id="{6ED59E2B-39C7-4825-9921-A0F77C150F8F}"/>
            </a:ext>
          </a:extLst>
        </xdr:cNvPr>
        <xdr:cNvSpPr/>
      </xdr:nvSpPr>
      <xdr:spPr>
        <a:xfrm>
          <a:off x="4830232" y="11925300"/>
          <a:ext cx="180000" cy="246708"/>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476780</xdr:colOff>
      <xdr:row>51</xdr:row>
      <xdr:rowOff>13758</xdr:rowOff>
    </xdr:from>
    <xdr:to>
      <xdr:col>7</xdr:col>
      <xdr:colOff>445029</xdr:colOff>
      <xdr:row>52</xdr:row>
      <xdr:rowOff>56091</xdr:rowOff>
    </xdr:to>
    <xdr:sp macro="" textlink="">
      <xdr:nvSpPr>
        <xdr:cNvPr id="133" name="テキスト ボックス 132">
          <a:extLst>
            <a:ext uri="{FF2B5EF4-FFF2-40B4-BE49-F238E27FC236}">
              <a16:creationId xmlns:a16="http://schemas.microsoft.com/office/drawing/2014/main" id="{EA54182C-07F4-4EAF-A261-3459B369EE17}"/>
            </a:ext>
          </a:extLst>
        </xdr:cNvPr>
        <xdr:cNvSpPr txBox="1"/>
      </xdr:nvSpPr>
      <xdr:spPr>
        <a:xfrm>
          <a:off x="4591580" y="12158133"/>
          <a:ext cx="654049"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twoCellAnchor>
    <xdr:from>
      <xdr:col>9</xdr:col>
      <xdr:colOff>674116</xdr:colOff>
      <xdr:row>53</xdr:row>
      <xdr:rowOff>44450</xdr:rowOff>
    </xdr:from>
    <xdr:to>
      <xdr:col>10</xdr:col>
      <xdr:colOff>166199</xdr:colOff>
      <xdr:row>54</xdr:row>
      <xdr:rowOff>53033</xdr:rowOff>
    </xdr:to>
    <xdr:sp macro="" textlink="">
      <xdr:nvSpPr>
        <xdr:cNvPr id="134" name="矢印: 下 133">
          <a:extLst>
            <a:ext uri="{FF2B5EF4-FFF2-40B4-BE49-F238E27FC236}">
              <a16:creationId xmlns:a16="http://schemas.microsoft.com/office/drawing/2014/main" id="{A13272E5-F987-45B2-8F37-F17639B36328}"/>
            </a:ext>
          </a:extLst>
        </xdr:cNvPr>
        <xdr:cNvSpPr/>
      </xdr:nvSpPr>
      <xdr:spPr>
        <a:xfrm>
          <a:off x="6846316" y="12665075"/>
          <a:ext cx="177883" cy="246708"/>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441324</xdr:colOff>
      <xdr:row>54</xdr:row>
      <xdr:rowOff>47098</xdr:rowOff>
    </xdr:from>
    <xdr:to>
      <xdr:col>10</xdr:col>
      <xdr:colOff>409573</xdr:colOff>
      <xdr:row>55</xdr:row>
      <xdr:rowOff>89431</xdr:rowOff>
    </xdr:to>
    <xdr:sp macro="" textlink="">
      <xdr:nvSpPr>
        <xdr:cNvPr id="135" name="テキスト ボックス 134">
          <a:extLst>
            <a:ext uri="{FF2B5EF4-FFF2-40B4-BE49-F238E27FC236}">
              <a16:creationId xmlns:a16="http://schemas.microsoft.com/office/drawing/2014/main" id="{D997DE0D-59EF-4EFC-A3FA-558295AEC723}"/>
            </a:ext>
          </a:extLst>
        </xdr:cNvPr>
        <xdr:cNvSpPr txBox="1"/>
      </xdr:nvSpPr>
      <xdr:spPr>
        <a:xfrm>
          <a:off x="6613524" y="12905848"/>
          <a:ext cx="654049"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twoCellAnchor>
    <xdr:from>
      <xdr:col>1</xdr:col>
      <xdr:colOff>441854</xdr:colOff>
      <xdr:row>56</xdr:row>
      <xdr:rowOff>39688</xdr:rowOff>
    </xdr:from>
    <xdr:to>
      <xdr:col>7</xdr:col>
      <xdr:colOff>83820</xdr:colOff>
      <xdr:row>58</xdr:row>
      <xdr:rowOff>160020</xdr:rowOff>
    </xdr:to>
    <xdr:sp macro="" textlink="">
      <xdr:nvSpPr>
        <xdr:cNvPr id="136" name="テキスト ボックス 135">
          <a:extLst>
            <a:ext uri="{FF2B5EF4-FFF2-40B4-BE49-F238E27FC236}">
              <a16:creationId xmlns:a16="http://schemas.microsoft.com/office/drawing/2014/main" id="{A7AF1A7F-4FF2-4B89-A680-E58AEC639C84}"/>
            </a:ext>
          </a:extLst>
        </xdr:cNvPr>
        <xdr:cNvSpPr txBox="1"/>
      </xdr:nvSpPr>
      <xdr:spPr>
        <a:xfrm>
          <a:off x="1112414" y="12841288"/>
          <a:ext cx="3665326" cy="577532"/>
        </a:xfrm>
        <a:prstGeom prst="round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kern="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kern="12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kern="1200">
              <a:solidFill>
                <a:srgbClr val="FF0000"/>
              </a:solidFill>
              <a:latin typeface="ＭＳ Ｐゴシック" panose="020B0600070205080204" pitchFamily="50" charset="-128"/>
              <a:ea typeface="ＭＳ Ｐゴシック" panose="020B0600070205080204" pitchFamily="50" charset="-128"/>
            </a:rPr>
            <a:t>推定した活動量を設備更新等による</a:t>
          </a:r>
          <a:r>
            <a:rPr kumimoji="1" lang="en-US" altLang="ja-JP" sz="1200" b="1" kern="1200">
              <a:solidFill>
                <a:srgbClr val="FF0000"/>
              </a:solidFill>
              <a:latin typeface="ＭＳ Ｐゴシック" panose="020B0600070205080204" pitchFamily="50" charset="-128"/>
              <a:ea typeface="ＭＳ Ｐゴシック" panose="020B0600070205080204" pitchFamily="50" charset="-128"/>
            </a:rPr>
            <a:t>CO</a:t>
          </a:r>
          <a:r>
            <a:rPr kumimoji="1" lang="en-US" altLang="ja-JP" sz="1200" b="1" kern="1200" baseline="-25000">
              <a:solidFill>
                <a:srgbClr val="FF0000"/>
              </a:solidFill>
              <a:latin typeface="ＭＳ Ｐゴシック" panose="020B0600070205080204" pitchFamily="50" charset="-128"/>
              <a:ea typeface="ＭＳ Ｐゴシック" panose="020B0600070205080204" pitchFamily="50" charset="-128"/>
            </a:rPr>
            <a:t>2</a:t>
          </a:r>
          <a:r>
            <a:rPr kumimoji="1" lang="ja-JP" altLang="en-US" sz="1200" b="1" kern="1200">
              <a:solidFill>
                <a:srgbClr val="FF0000"/>
              </a:solidFill>
              <a:latin typeface="ＭＳ Ｐゴシック" panose="020B0600070205080204" pitchFamily="50" charset="-128"/>
              <a:ea typeface="ＭＳ Ｐゴシック" panose="020B0600070205080204" pitchFamily="50" charset="-128"/>
            </a:rPr>
            <a:t>削減効果</a:t>
          </a:r>
          <a:endParaRPr kumimoji="1" lang="en-US" altLang="ja-JP" sz="1200" b="1" kern="12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kern="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kern="1200">
              <a:solidFill>
                <a:srgbClr val="FF0000"/>
              </a:solidFill>
              <a:latin typeface="ＭＳ Ｐゴシック" panose="020B0600070205080204" pitchFamily="50" charset="-128"/>
              <a:ea typeface="ＭＳ Ｐゴシック" panose="020B0600070205080204" pitchFamily="50" charset="-128"/>
            </a:rPr>
            <a:t>の算定ツールの</a:t>
          </a:r>
          <a:r>
            <a:rPr kumimoji="1" lang="en-US" altLang="ja-JP" sz="1200" b="1" kern="1200">
              <a:solidFill>
                <a:srgbClr val="FF0000"/>
              </a:solidFill>
              <a:latin typeface="ＭＳ Ｐゴシック" panose="020B0600070205080204" pitchFamily="50" charset="-128"/>
              <a:ea typeface="ＭＳ Ｐゴシック" panose="020B0600070205080204" pitchFamily="50" charset="-128"/>
            </a:rPr>
            <a:t>Step 2</a:t>
          </a:r>
          <a:r>
            <a:rPr kumimoji="1" lang="ja-JP" altLang="en-US" sz="1200" b="1" kern="1200">
              <a:solidFill>
                <a:srgbClr val="FF0000"/>
              </a:solidFill>
              <a:latin typeface="ＭＳ Ｐゴシック" panose="020B0600070205080204" pitchFamily="50" charset="-128"/>
              <a:ea typeface="ＭＳ Ｐゴシック" panose="020B0600070205080204" pitchFamily="50" charset="-128"/>
            </a:rPr>
            <a:t>に入力してください。</a:t>
          </a:r>
        </a:p>
      </xdr:txBody>
    </xdr:sp>
    <xdr:clientData/>
  </xdr:twoCellAnchor>
  <xdr:twoCellAnchor>
    <xdr:from>
      <xdr:col>7</xdr:col>
      <xdr:colOff>613832</xdr:colOff>
      <xdr:row>37</xdr:row>
      <xdr:rowOff>116417</xdr:rowOff>
    </xdr:from>
    <xdr:to>
      <xdr:col>8</xdr:col>
      <xdr:colOff>105916</xdr:colOff>
      <xdr:row>38</xdr:row>
      <xdr:rowOff>125001</xdr:rowOff>
    </xdr:to>
    <xdr:sp macro="" textlink="">
      <xdr:nvSpPr>
        <xdr:cNvPr id="137" name="矢印: 下 136">
          <a:extLst>
            <a:ext uri="{FF2B5EF4-FFF2-40B4-BE49-F238E27FC236}">
              <a16:creationId xmlns:a16="http://schemas.microsoft.com/office/drawing/2014/main" id="{BC3670A0-E3AA-494C-96C0-E9F94B1A24DA}"/>
            </a:ext>
          </a:extLst>
        </xdr:cNvPr>
        <xdr:cNvSpPr/>
      </xdr:nvSpPr>
      <xdr:spPr>
        <a:xfrm>
          <a:off x="5414432" y="8927042"/>
          <a:ext cx="177884" cy="246709"/>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373062</xdr:colOff>
      <xdr:row>38</xdr:row>
      <xdr:rowOff>105305</xdr:rowOff>
    </xdr:from>
    <xdr:to>
      <xdr:col>8</xdr:col>
      <xdr:colOff>341312</xdr:colOff>
      <xdr:row>39</xdr:row>
      <xdr:rowOff>147638</xdr:rowOff>
    </xdr:to>
    <xdr:sp macro="" textlink="">
      <xdr:nvSpPr>
        <xdr:cNvPr id="138" name="テキスト ボックス 137">
          <a:extLst>
            <a:ext uri="{FF2B5EF4-FFF2-40B4-BE49-F238E27FC236}">
              <a16:creationId xmlns:a16="http://schemas.microsoft.com/office/drawing/2014/main" id="{B29DE4FB-D3EF-4A76-AEC0-C859DE3CB650}"/>
            </a:ext>
          </a:extLst>
        </xdr:cNvPr>
        <xdr:cNvSpPr txBox="1"/>
      </xdr:nvSpPr>
      <xdr:spPr>
        <a:xfrm>
          <a:off x="5173662" y="9154055"/>
          <a:ext cx="654050"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twoCellAnchor>
    <xdr:from>
      <xdr:col>11</xdr:col>
      <xdr:colOff>374649</xdr:colOff>
      <xdr:row>37</xdr:row>
      <xdr:rowOff>116417</xdr:rowOff>
    </xdr:from>
    <xdr:to>
      <xdr:col>11</xdr:col>
      <xdr:colOff>554649</xdr:colOff>
      <xdr:row>38</xdr:row>
      <xdr:rowOff>125001</xdr:rowOff>
    </xdr:to>
    <xdr:sp macro="" textlink="">
      <xdr:nvSpPr>
        <xdr:cNvPr id="139" name="矢印: 下 138">
          <a:extLst>
            <a:ext uri="{FF2B5EF4-FFF2-40B4-BE49-F238E27FC236}">
              <a16:creationId xmlns:a16="http://schemas.microsoft.com/office/drawing/2014/main" id="{B7078432-3957-4434-B6C3-C10AB1578744}"/>
            </a:ext>
          </a:extLst>
        </xdr:cNvPr>
        <xdr:cNvSpPr/>
      </xdr:nvSpPr>
      <xdr:spPr>
        <a:xfrm>
          <a:off x="7918449" y="8927042"/>
          <a:ext cx="180000" cy="246709"/>
        </a:xfrm>
        <a:prstGeom prst="down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149754</xdr:colOff>
      <xdr:row>38</xdr:row>
      <xdr:rowOff>105305</xdr:rowOff>
    </xdr:from>
    <xdr:to>
      <xdr:col>12</xdr:col>
      <xdr:colOff>118003</xdr:colOff>
      <xdr:row>39</xdr:row>
      <xdr:rowOff>147638</xdr:rowOff>
    </xdr:to>
    <xdr:sp macro="" textlink="">
      <xdr:nvSpPr>
        <xdr:cNvPr id="140" name="テキスト ボックス 139">
          <a:extLst>
            <a:ext uri="{FF2B5EF4-FFF2-40B4-BE49-F238E27FC236}">
              <a16:creationId xmlns:a16="http://schemas.microsoft.com/office/drawing/2014/main" id="{9CE3EBFC-EA41-4B6B-B525-CBCFEC083377}"/>
            </a:ext>
          </a:extLst>
        </xdr:cNvPr>
        <xdr:cNvSpPr txBox="1"/>
      </xdr:nvSpPr>
      <xdr:spPr>
        <a:xfrm>
          <a:off x="7693554" y="9154055"/>
          <a:ext cx="654049"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kern="1200">
              <a:solidFill>
                <a:srgbClr val="FF0000"/>
              </a:solidFill>
            </a:rPr>
            <a:t>※</a:t>
          </a:r>
          <a:endParaRPr kumimoji="1" lang="ja-JP" altLang="en-US" sz="1200" b="1" kern="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156209</xdr:colOff>
      <xdr:row>64</xdr:row>
      <xdr:rowOff>198120</xdr:rowOff>
    </xdr:from>
    <xdr:to>
      <xdr:col>9</xdr:col>
      <xdr:colOff>144800</xdr:colOff>
      <xdr:row>66</xdr:row>
      <xdr:rowOff>133349</xdr:rowOff>
    </xdr:to>
    <xdr:grpSp>
      <xdr:nvGrpSpPr>
        <xdr:cNvPr id="7" name="グループ化 6">
          <a:extLst>
            <a:ext uri="{FF2B5EF4-FFF2-40B4-BE49-F238E27FC236}">
              <a16:creationId xmlns:a16="http://schemas.microsoft.com/office/drawing/2014/main" id="{174F9192-BCAD-8E0F-8BBA-523E8E9E948C}"/>
            </a:ext>
          </a:extLst>
        </xdr:cNvPr>
        <xdr:cNvGrpSpPr/>
      </xdr:nvGrpSpPr>
      <xdr:grpSpPr>
        <a:xfrm>
          <a:off x="2876126" y="12749953"/>
          <a:ext cx="3798591" cy="506729"/>
          <a:chOff x="2663189" y="13152120"/>
          <a:chExt cx="3493791" cy="506729"/>
        </a:xfrm>
      </xdr:grpSpPr>
      <xdr:sp macro="" textlink="">
        <xdr:nvSpPr>
          <xdr:cNvPr id="3" name="二等辺三角形 2">
            <a:extLst>
              <a:ext uri="{FF2B5EF4-FFF2-40B4-BE49-F238E27FC236}">
                <a16:creationId xmlns:a16="http://schemas.microsoft.com/office/drawing/2014/main" id="{D42A13B5-D858-A29A-CB07-4E888393845A}"/>
              </a:ext>
            </a:extLst>
          </xdr:cNvPr>
          <xdr:cNvSpPr/>
        </xdr:nvSpPr>
        <xdr:spPr>
          <a:xfrm rot="10800000">
            <a:off x="2663189" y="13185981"/>
            <a:ext cx="3493791" cy="472868"/>
          </a:xfrm>
          <a:prstGeom prst="triangle">
            <a:avLst>
              <a:gd name="adj" fmla="val 49862"/>
            </a:avLst>
          </a:prstGeom>
          <a:solidFill>
            <a:schemeClr val="bg2">
              <a:lumMod val="9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テキスト ボックス 3">
            <a:extLst>
              <a:ext uri="{FF2B5EF4-FFF2-40B4-BE49-F238E27FC236}">
                <a16:creationId xmlns:a16="http://schemas.microsoft.com/office/drawing/2014/main" id="{9353F50C-5E72-9DDD-E523-1390970983FA}"/>
              </a:ext>
            </a:extLst>
          </xdr:cNvPr>
          <xdr:cNvSpPr txBox="1"/>
        </xdr:nvSpPr>
        <xdr:spPr>
          <a:xfrm>
            <a:off x="3972217" y="13152120"/>
            <a:ext cx="919823" cy="47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0">
                <a:solidFill>
                  <a:schemeClr val="tx1"/>
                </a:solidFill>
                <a:latin typeface="メイリオ" panose="020B0604030504040204" pitchFamily="50" charset="-128"/>
                <a:ea typeface="メイリオ" panose="020B0604030504040204" pitchFamily="50" charset="-128"/>
              </a:rPr>
              <a:t>計算結果</a:t>
            </a:r>
          </a:p>
        </xdr:txBody>
      </xdr:sp>
    </xdr:grpSp>
    <xdr:clientData/>
  </xdr:twoCellAnchor>
  <xdr:twoCellAnchor>
    <xdr:from>
      <xdr:col>0</xdr:col>
      <xdr:colOff>409576</xdr:colOff>
      <xdr:row>0</xdr:row>
      <xdr:rowOff>19050</xdr:rowOff>
    </xdr:from>
    <xdr:to>
      <xdr:col>12</xdr:col>
      <xdr:colOff>285750</xdr:colOff>
      <xdr:row>1</xdr:row>
      <xdr:rowOff>19050</xdr:rowOff>
    </xdr:to>
    <xdr:sp macro="" textlink="">
      <xdr:nvSpPr>
        <xdr:cNvPr id="5" name="四角形: 角を丸くする 4">
          <a:extLst>
            <a:ext uri="{FF2B5EF4-FFF2-40B4-BE49-F238E27FC236}">
              <a16:creationId xmlns:a16="http://schemas.microsoft.com/office/drawing/2014/main" id="{0A811081-D6EC-464D-A24E-9AAC12AC663F}"/>
            </a:ext>
          </a:extLst>
        </xdr:cNvPr>
        <xdr:cNvSpPr/>
      </xdr:nvSpPr>
      <xdr:spPr>
        <a:xfrm>
          <a:off x="409576" y="19050"/>
          <a:ext cx="8029574" cy="304800"/>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476251</xdr:colOff>
      <xdr:row>0</xdr:row>
      <xdr:rowOff>0</xdr:rowOff>
    </xdr:from>
    <xdr:to>
      <xdr:col>12</xdr:col>
      <xdr:colOff>171451</xdr:colOff>
      <xdr:row>1</xdr:row>
      <xdr:rowOff>57150</xdr:rowOff>
    </xdr:to>
    <xdr:sp macro="" textlink="">
      <xdr:nvSpPr>
        <xdr:cNvPr id="6" name="テキスト ボックス 5">
          <a:extLst>
            <a:ext uri="{FF2B5EF4-FFF2-40B4-BE49-F238E27FC236}">
              <a16:creationId xmlns:a16="http://schemas.microsoft.com/office/drawing/2014/main" id="{33F9795D-009A-476F-8C45-0EF33A531FA3}"/>
            </a:ext>
          </a:extLst>
        </xdr:cNvPr>
        <xdr:cNvSpPr txBox="1"/>
      </xdr:nvSpPr>
      <xdr:spPr>
        <a:xfrm>
          <a:off x="476251" y="0"/>
          <a:ext cx="784860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設備更新等による</a:t>
          </a:r>
          <a:r>
            <a:rPr kumimoji="1" lang="en-US" altLang="ja-JP"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CO2</a:t>
          </a: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削減効果の算定ツール　（空調設備（電動式）の高効率化）　</a:t>
          </a:r>
          <a:r>
            <a:rPr kumimoji="1" lang="en-US" altLang="ja-JP" sz="1000" b="1">
              <a:solidFill>
                <a:schemeClr val="bg1"/>
              </a:solidFill>
              <a:latin typeface="Arial" panose="020B0604020202020204" pitchFamily="34" charset="0"/>
              <a:ea typeface="BIZ UDPゴシック" panose="020B0400000000000000" pitchFamily="50" charset="-128"/>
              <a:cs typeface="Arial" panose="020B0604020202020204" pitchFamily="34" charset="0"/>
            </a:rPr>
            <a:t>Ver. 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121920</xdr:colOff>
      <xdr:row>78</xdr:row>
      <xdr:rowOff>45720</xdr:rowOff>
    </xdr:from>
    <xdr:to>
      <xdr:col>15</xdr:col>
      <xdr:colOff>66675</xdr:colOff>
      <xdr:row>79</xdr:row>
      <xdr:rowOff>266700</xdr:rowOff>
    </xdr:to>
    <xdr:cxnSp macro="">
      <xdr:nvCxnSpPr>
        <xdr:cNvPr id="3" name="直線矢印コネクタ 2">
          <a:extLst>
            <a:ext uri="{FF2B5EF4-FFF2-40B4-BE49-F238E27FC236}">
              <a16:creationId xmlns:a16="http://schemas.microsoft.com/office/drawing/2014/main" id="{7FCC97B2-D6C2-8E07-1CDA-5B59AFEA0FC3}"/>
            </a:ext>
          </a:extLst>
        </xdr:cNvPr>
        <xdr:cNvCxnSpPr/>
      </xdr:nvCxnSpPr>
      <xdr:spPr>
        <a:xfrm>
          <a:off x="10637520" y="19124295"/>
          <a:ext cx="773430" cy="459105"/>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238125</xdr:colOff>
      <xdr:row>85</xdr:row>
      <xdr:rowOff>9525</xdr:rowOff>
    </xdr:from>
    <xdr:to>
      <xdr:col>19</xdr:col>
      <xdr:colOff>238125</xdr:colOff>
      <xdr:row>86</xdr:row>
      <xdr:rowOff>200025</xdr:rowOff>
    </xdr:to>
    <xdr:cxnSp macro="">
      <xdr:nvCxnSpPr>
        <xdr:cNvPr id="2" name="直線矢印コネクタ 1">
          <a:extLst>
            <a:ext uri="{FF2B5EF4-FFF2-40B4-BE49-F238E27FC236}">
              <a16:creationId xmlns:a16="http://schemas.microsoft.com/office/drawing/2014/main" id="{6F23534E-6AB8-45C8-95D3-0796AA2E6C69}"/>
            </a:ext>
          </a:extLst>
        </xdr:cNvPr>
        <xdr:cNvCxnSpPr/>
      </xdr:nvCxnSpPr>
      <xdr:spPr>
        <a:xfrm flipV="1">
          <a:off x="13220700" y="20859750"/>
          <a:ext cx="0" cy="43815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521969</xdr:colOff>
      <xdr:row>82</xdr:row>
      <xdr:rowOff>11658</xdr:rowOff>
    </xdr:from>
    <xdr:to>
      <xdr:col>9</xdr:col>
      <xdr:colOff>121940</xdr:colOff>
      <xdr:row>83</xdr:row>
      <xdr:rowOff>133349</xdr:rowOff>
    </xdr:to>
    <xdr:grpSp>
      <xdr:nvGrpSpPr>
        <xdr:cNvPr id="2" name="グループ化 1">
          <a:extLst>
            <a:ext uri="{FF2B5EF4-FFF2-40B4-BE49-F238E27FC236}">
              <a16:creationId xmlns:a16="http://schemas.microsoft.com/office/drawing/2014/main" id="{1D6475E7-74D8-480D-B34E-589955F45C43}"/>
            </a:ext>
          </a:extLst>
        </xdr:cNvPr>
        <xdr:cNvGrpSpPr/>
      </xdr:nvGrpSpPr>
      <xdr:grpSpPr>
        <a:xfrm>
          <a:off x="2884169" y="15718383"/>
          <a:ext cx="2971821" cy="445541"/>
          <a:chOff x="2349499" y="9885908"/>
          <a:chExt cx="2998491" cy="439191"/>
        </a:xfrm>
      </xdr:grpSpPr>
      <xdr:sp macro="" textlink="">
        <xdr:nvSpPr>
          <xdr:cNvPr id="3" name="二等辺三角形 2">
            <a:extLst>
              <a:ext uri="{FF2B5EF4-FFF2-40B4-BE49-F238E27FC236}">
                <a16:creationId xmlns:a16="http://schemas.microsoft.com/office/drawing/2014/main" id="{14785F8C-5468-7288-0A0E-EA71D2D8DF44}"/>
              </a:ext>
            </a:extLst>
          </xdr:cNvPr>
          <xdr:cNvSpPr/>
        </xdr:nvSpPr>
        <xdr:spPr>
          <a:xfrm rot="10800000">
            <a:off x="2349499" y="9943916"/>
            <a:ext cx="2998491" cy="381183"/>
          </a:xfrm>
          <a:prstGeom prst="triangle">
            <a:avLst>
              <a:gd name="adj" fmla="val 49862"/>
            </a:avLst>
          </a:prstGeom>
          <a:solidFill>
            <a:schemeClr val="bg2">
              <a:lumMod val="9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テキスト ボックス 3">
            <a:extLst>
              <a:ext uri="{FF2B5EF4-FFF2-40B4-BE49-F238E27FC236}">
                <a16:creationId xmlns:a16="http://schemas.microsoft.com/office/drawing/2014/main" id="{0BF744C7-DE21-8FB8-0209-3495EF42FC33}"/>
              </a:ext>
            </a:extLst>
          </xdr:cNvPr>
          <xdr:cNvSpPr txBox="1"/>
        </xdr:nvSpPr>
        <xdr:spPr>
          <a:xfrm>
            <a:off x="3407554" y="9885908"/>
            <a:ext cx="928841" cy="3820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0">
                <a:solidFill>
                  <a:schemeClr val="tx1"/>
                </a:solidFill>
                <a:latin typeface="メイリオ" panose="020B0604030504040204" pitchFamily="50" charset="-128"/>
                <a:ea typeface="メイリオ" panose="020B0604030504040204" pitchFamily="50" charset="-128"/>
              </a:rPr>
              <a:t>計算結果</a:t>
            </a:r>
          </a:p>
        </xdr:txBody>
      </xdr:sp>
    </xdr:grpSp>
    <xdr:clientData/>
  </xdr:twoCellAnchor>
  <xdr:twoCellAnchor>
    <xdr:from>
      <xdr:col>0</xdr:col>
      <xdr:colOff>38100</xdr:colOff>
      <xdr:row>0</xdr:row>
      <xdr:rowOff>19050</xdr:rowOff>
    </xdr:from>
    <xdr:to>
      <xdr:col>12</xdr:col>
      <xdr:colOff>552450</xdr:colOff>
      <xdr:row>1</xdr:row>
      <xdr:rowOff>19050</xdr:rowOff>
    </xdr:to>
    <xdr:sp macro="" textlink="">
      <xdr:nvSpPr>
        <xdr:cNvPr id="5" name="四角形: 角を丸くする 4">
          <a:extLst>
            <a:ext uri="{FF2B5EF4-FFF2-40B4-BE49-F238E27FC236}">
              <a16:creationId xmlns:a16="http://schemas.microsoft.com/office/drawing/2014/main" id="{4FA6F545-7093-4B06-A898-B044A8836C57}"/>
            </a:ext>
          </a:extLst>
        </xdr:cNvPr>
        <xdr:cNvSpPr/>
      </xdr:nvSpPr>
      <xdr:spPr>
        <a:xfrm>
          <a:off x="38100" y="19050"/>
          <a:ext cx="7486650" cy="304800"/>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0</xdr:row>
      <xdr:rowOff>0</xdr:rowOff>
    </xdr:from>
    <xdr:to>
      <xdr:col>12</xdr:col>
      <xdr:colOff>561975</xdr:colOff>
      <xdr:row>1</xdr:row>
      <xdr:rowOff>57150</xdr:rowOff>
    </xdr:to>
    <xdr:sp macro="" textlink="">
      <xdr:nvSpPr>
        <xdr:cNvPr id="6" name="テキスト ボックス 5">
          <a:extLst>
            <a:ext uri="{FF2B5EF4-FFF2-40B4-BE49-F238E27FC236}">
              <a16:creationId xmlns:a16="http://schemas.microsoft.com/office/drawing/2014/main" id="{933F29D8-2C64-4032-93E0-216E49CA9504}"/>
            </a:ext>
          </a:extLst>
        </xdr:cNvPr>
        <xdr:cNvSpPr txBox="1"/>
      </xdr:nvSpPr>
      <xdr:spPr>
        <a:xfrm>
          <a:off x="66675" y="0"/>
          <a:ext cx="746760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設備更新等による</a:t>
          </a:r>
          <a:r>
            <a:rPr kumimoji="1" lang="en-US" altLang="ja-JP"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CO2</a:t>
          </a: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削減効果の算定ツール　（空調設備（燃焼式）の高効率化）　</a:t>
          </a:r>
          <a:r>
            <a:rPr kumimoji="1" lang="en-US" altLang="ja-JP" sz="1000" b="1">
              <a:solidFill>
                <a:schemeClr val="bg1"/>
              </a:solidFill>
              <a:latin typeface="Arial" panose="020B0604020202020204" pitchFamily="34" charset="0"/>
              <a:ea typeface="BIZ UDPゴシック" panose="020B0400000000000000" pitchFamily="50" charset="-128"/>
              <a:cs typeface="Arial" panose="020B0604020202020204" pitchFamily="34" charset="0"/>
            </a:rPr>
            <a:t>Ver. 1.3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662940</xdr:colOff>
      <xdr:row>40</xdr:row>
      <xdr:rowOff>0</xdr:rowOff>
    </xdr:from>
    <xdr:to>
      <xdr:col>24</xdr:col>
      <xdr:colOff>0</xdr:colOff>
      <xdr:row>66</xdr:row>
      <xdr:rowOff>45720</xdr:rowOff>
    </xdr:to>
    <xdr:cxnSp macro="">
      <xdr:nvCxnSpPr>
        <xdr:cNvPr id="3" name="直線矢印コネクタ 2">
          <a:extLst>
            <a:ext uri="{FF2B5EF4-FFF2-40B4-BE49-F238E27FC236}">
              <a16:creationId xmlns:a16="http://schemas.microsoft.com/office/drawing/2014/main" id="{A1CA019E-EFD3-19D6-1A8F-2ABB0F4FCD98}"/>
            </a:ext>
          </a:extLst>
        </xdr:cNvPr>
        <xdr:cNvCxnSpPr/>
      </xdr:nvCxnSpPr>
      <xdr:spPr>
        <a:xfrm flipH="1">
          <a:off x="10233660" y="9563100"/>
          <a:ext cx="7444740" cy="664464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38100</xdr:colOff>
      <xdr:row>65</xdr:row>
      <xdr:rowOff>175260</xdr:rowOff>
    </xdr:from>
    <xdr:to>
      <xdr:col>8</xdr:col>
      <xdr:colOff>1005840</xdr:colOff>
      <xdr:row>66</xdr:row>
      <xdr:rowOff>152400</xdr:rowOff>
    </xdr:to>
    <xdr:cxnSp macro="">
      <xdr:nvCxnSpPr>
        <xdr:cNvPr id="4" name="直線矢印コネクタ 3">
          <a:extLst>
            <a:ext uri="{FF2B5EF4-FFF2-40B4-BE49-F238E27FC236}">
              <a16:creationId xmlns:a16="http://schemas.microsoft.com/office/drawing/2014/main" id="{DF5C4670-9EC4-8D2E-692D-5E55F27F0711}"/>
            </a:ext>
          </a:extLst>
        </xdr:cNvPr>
        <xdr:cNvCxnSpPr/>
      </xdr:nvCxnSpPr>
      <xdr:spPr>
        <a:xfrm flipH="1">
          <a:off x="6918960" y="16070580"/>
          <a:ext cx="967740" cy="2438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330200</xdr:colOff>
      <xdr:row>7</xdr:row>
      <xdr:rowOff>139700</xdr:rowOff>
    </xdr:from>
    <xdr:to>
      <xdr:col>21</xdr:col>
      <xdr:colOff>244475</xdr:colOff>
      <xdr:row>39</xdr:row>
      <xdr:rowOff>98425</xdr:rowOff>
    </xdr:to>
    <xdr:pic>
      <xdr:nvPicPr>
        <xdr:cNvPr id="2" name="図 1">
          <a:extLst>
            <a:ext uri="{FF2B5EF4-FFF2-40B4-BE49-F238E27FC236}">
              <a16:creationId xmlns:a16="http://schemas.microsoft.com/office/drawing/2014/main" id="{48C6A2A1-5D0E-4023-B8A4-3C805C261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4725" y="1863725"/>
          <a:ext cx="5400675" cy="7769225"/>
        </a:xfrm>
        <a:prstGeom prst="rect">
          <a:avLst/>
        </a:prstGeom>
        <a:noFill/>
        <a:ln w="12700">
          <a:solidFill>
            <a:schemeClr val="bg2">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cuments\R5&#35036;&#27491;&#12288;C&#20107;&#26989;\R5&#35036;&#27491;&#12288;C6013\6013_&#23455;&#26045;&#35336;&#30011;&#26360;J2_rev.xlsm" TargetMode="External"/><Relationship Id="rId1" Type="http://schemas.openxmlformats.org/officeDocument/2006/relationships/externalLinkPath" Target="/Documents/R5&#35036;&#27491;&#12288;C&#20107;&#26989;/R5&#35036;&#27491;&#12288;C6013/6013_&#23455;&#26045;&#35336;&#30011;&#26360;J2_re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１別紙"/>
      <sheetName val="対策個票2"/>
      <sheetName val="対策個票2別紙"/>
      <sheetName val="対策個票3"/>
      <sheetName val="対策個票3別紙"/>
      <sheetName val="対策個票4"/>
      <sheetName val="対策個票5"/>
      <sheetName val="対策個票6"/>
      <sheetName val="542法定耐用年数"/>
      <sheetName val="排出係数・単価表"/>
      <sheetName val="支援実施記録"/>
      <sheetName val="【参考】対策メニューリスト"/>
      <sheetName val="事業報告書用データ転記元シート"/>
      <sheetName val="電灯電力データまとめ"/>
      <sheetName val="工場の稼働時間のまとめ"/>
      <sheetName val="蒸気関連データまとめ"/>
      <sheetName val="蒸気配管からの放熱量"/>
      <sheetName val="3年間実績データ"/>
      <sheetName val="ボイラーデータ"/>
      <sheetName val="LNGタンクデータ"/>
      <sheetName val="GRC工場蒸気流量(富士電機)"/>
      <sheetName val="蒸気流量(oval)"/>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ow r="7">
          <cell r="L7" t="str">
            <v/>
          </cell>
        </row>
        <row r="8">
          <cell r="L8" t="str">
            <v/>
          </cell>
        </row>
        <row r="9">
          <cell r="L9" t="str">
            <v/>
          </cell>
        </row>
        <row r="10">
          <cell r="L10" t="str">
            <v/>
          </cell>
        </row>
        <row r="11">
          <cell r="L11" t="str">
            <v/>
          </cell>
        </row>
        <row r="12">
          <cell r="L12" t="str">
            <v/>
          </cell>
        </row>
        <row r="13">
          <cell r="L13" t="str">
            <v/>
          </cell>
        </row>
        <row r="14">
          <cell r="L14" t="str">
            <v/>
          </cell>
        </row>
        <row r="15">
          <cell r="L15" t="str">
            <v/>
          </cell>
        </row>
        <row r="16">
          <cell r="L16" t="str">
            <v/>
          </cell>
        </row>
        <row r="17">
          <cell r="L17" t="str">
            <v/>
          </cell>
        </row>
        <row r="18">
          <cell r="L18" t="str">
            <v/>
          </cell>
        </row>
        <row r="19">
          <cell r="L19" t="str">
            <v/>
          </cell>
        </row>
        <row r="20">
          <cell r="L20" t="str">
            <v/>
          </cell>
        </row>
        <row r="21">
          <cell r="L21" t="str">
            <v/>
          </cell>
        </row>
        <row r="22">
          <cell r="L22" t="str">
            <v/>
          </cell>
        </row>
        <row r="23">
          <cell r="L23" t="str">
            <v/>
          </cell>
        </row>
        <row r="24">
          <cell r="L24" t="str">
            <v/>
          </cell>
        </row>
        <row r="25">
          <cell r="L25" t="str">
            <v/>
          </cell>
        </row>
        <row r="26">
          <cell r="L26"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9">
          <cell r="U9" t="str">
            <v/>
          </cell>
          <cell r="Y9" t="str">
            <v/>
          </cell>
          <cell r="AC9" t="str">
            <v/>
          </cell>
          <cell r="AG9" t="str">
            <v/>
          </cell>
          <cell r="AK9" t="str">
            <v/>
          </cell>
        </row>
        <row r="10">
          <cell r="U10" t="str">
            <v/>
          </cell>
          <cell r="Y10" t="str">
            <v/>
          </cell>
          <cell r="AC10" t="str">
            <v/>
          </cell>
          <cell r="AG10" t="str">
            <v/>
          </cell>
          <cell r="AK10" t="str">
            <v/>
          </cell>
        </row>
        <row r="11">
          <cell r="U11">
            <v>0</v>
          </cell>
          <cell r="Y11">
            <v>0</v>
          </cell>
          <cell r="AC11">
            <v>0</v>
          </cell>
          <cell r="AG11">
            <v>0</v>
          </cell>
          <cell r="AK11">
            <v>0</v>
          </cell>
        </row>
        <row r="12">
          <cell r="U12">
            <v>0</v>
          </cell>
          <cell r="Y12">
            <v>0</v>
          </cell>
          <cell r="AC12">
            <v>0</v>
          </cell>
          <cell r="AG12">
            <v>0</v>
          </cell>
          <cell r="AK12">
            <v>0</v>
          </cell>
        </row>
        <row r="13">
          <cell r="U13">
            <v>0</v>
          </cell>
          <cell r="Y13">
            <v>0</v>
          </cell>
          <cell r="AC13">
            <v>0</v>
          </cell>
          <cell r="AG13">
            <v>0</v>
          </cell>
          <cell r="AK13">
            <v>0</v>
          </cell>
        </row>
        <row r="14">
          <cell r="U14">
            <v>0</v>
          </cell>
          <cell r="Y14">
            <v>0</v>
          </cell>
          <cell r="AC14">
            <v>0</v>
          </cell>
          <cell r="AG14">
            <v>0</v>
          </cell>
          <cell r="AK14">
            <v>0</v>
          </cell>
        </row>
        <row r="15">
          <cell r="U15" t="str">
            <v>---</v>
          </cell>
          <cell r="Y15" t="str">
            <v>---</v>
          </cell>
          <cell r="AC15" t="str">
            <v>---</v>
          </cell>
          <cell r="AG15" t="str">
            <v>---</v>
          </cell>
          <cell r="AK15" t="str">
            <v>---</v>
          </cell>
        </row>
        <row r="16">
          <cell r="U16">
            <v>0</v>
          </cell>
          <cell r="Y16">
            <v>0</v>
          </cell>
          <cell r="AC16">
            <v>0</v>
          </cell>
          <cell r="AG16">
            <v>0</v>
          </cell>
          <cell r="AK16">
            <v>0</v>
          </cell>
        </row>
        <row r="17">
          <cell r="U17">
            <v>0</v>
          </cell>
          <cell r="Y17">
            <v>0</v>
          </cell>
          <cell r="AC17">
            <v>0</v>
          </cell>
          <cell r="AG17">
            <v>0</v>
          </cell>
          <cell r="AK17">
            <v>0</v>
          </cell>
        </row>
        <row r="18">
          <cell r="U18">
            <v>0</v>
          </cell>
          <cell r="Y18">
            <v>0</v>
          </cell>
          <cell r="AC18">
            <v>0</v>
          </cell>
          <cell r="AG18">
            <v>0</v>
          </cell>
          <cell r="AK18">
            <v>0</v>
          </cell>
        </row>
        <row r="19">
          <cell r="U19">
            <v>0</v>
          </cell>
          <cell r="Y19">
            <v>0</v>
          </cell>
          <cell r="AC19">
            <v>0</v>
          </cell>
          <cell r="AG19">
            <v>0</v>
          </cell>
          <cell r="AK19">
            <v>0</v>
          </cell>
        </row>
        <row r="20">
          <cell r="U20" t="str">
            <v>---</v>
          </cell>
          <cell r="Y20" t="str">
            <v>---</v>
          </cell>
          <cell r="AC20" t="str">
            <v>---</v>
          </cell>
          <cell r="AG20" t="str">
            <v>---</v>
          </cell>
          <cell r="AK20" t="str">
            <v>---</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1">
          <cell r="B11" t="str">
            <v>系統電力①</v>
          </cell>
          <cell r="C11" t="str">
            <v>kWh</v>
          </cell>
          <cell r="E11" t="str">
            <v>---</v>
          </cell>
          <cell r="F11">
            <v>4.3600000000000003E-4</v>
          </cell>
          <cell r="G11" t="str">
            <v>t-CO2/kWh</v>
          </cell>
          <cell r="H11">
            <v>2.92E-2</v>
          </cell>
          <cell r="I11" t="str">
            <v>千円/kWh</v>
          </cell>
          <cell r="J11" t="str">
            <v>2022年度の電気料金(千円)÷2022年度の使用実績(kWh)
29456(千円)÷1008029(kWh)</v>
          </cell>
          <cell r="K11">
            <v>1</v>
          </cell>
        </row>
        <row r="12">
          <cell r="B12" t="str">
            <v>LNG</v>
          </cell>
          <cell r="C12" t="str">
            <v>t</v>
          </cell>
          <cell r="D12">
            <v>54.7</v>
          </cell>
          <cell r="E12" t="str">
            <v>GJ/t</v>
          </cell>
          <cell r="F12">
            <v>5.0999999999999997E-2</v>
          </cell>
          <cell r="G12" t="str">
            <v>t-CO2/GJ</v>
          </cell>
          <cell r="H12">
            <v>133.85</v>
          </cell>
          <cell r="I12" t="str">
            <v>千円/t</v>
          </cell>
          <cell r="J12" t="str">
            <v>2022年度のLNG料金(円)÷2022年度の使用実績(t)
57152(千円)÷427(t)</v>
          </cell>
          <cell r="K12">
            <v>0</v>
          </cell>
        </row>
        <row r="13">
          <cell r="B13" t="str">
            <v>（未選択）</v>
          </cell>
          <cell r="C13" t="str">
            <v/>
          </cell>
          <cell r="E13" t="str">
            <v/>
          </cell>
          <cell r="G13" t="str">
            <v/>
          </cell>
          <cell r="I13" t="str">
            <v/>
          </cell>
          <cell r="K13" t="str">
            <v/>
          </cell>
        </row>
        <row r="14">
          <cell r="B14" t="str">
            <v>（未選択）</v>
          </cell>
          <cell r="C14" t="str">
            <v/>
          </cell>
          <cell r="E14" t="str">
            <v/>
          </cell>
          <cell r="G14" t="str">
            <v/>
          </cell>
          <cell r="I14" t="str">
            <v/>
          </cell>
          <cell r="K14" t="str">
            <v/>
          </cell>
        </row>
        <row r="15">
          <cell r="B15" t="str">
            <v>（未選択）</v>
          </cell>
          <cell r="C15" t="str">
            <v/>
          </cell>
          <cell r="E15" t="str">
            <v/>
          </cell>
          <cell r="G15" t="str">
            <v/>
          </cell>
          <cell r="I15" t="str">
            <v/>
          </cell>
          <cell r="K15" t="str">
            <v/>
          </cell>
        </row>
        <row r="16">
          <cell r="B16" t="str">
            <v>（未選択）</v>
          </cell>
          <cell r="C16" t="str">
            <v/>
          </cell>
          <cell r="E16" t="str">
            <v/>
          </cell>
          <cell r="G16" t="str">
            <v/>
          </cell>
          <cell r="I16" t="str">
            <v/>
          </cell>
          <cell r="K16" t="str">
            <v/>
          </cell>
        </row>
        <row r="17">
          <cell r="B17" t="str">
            <v>（未選択）</v>
          </cell>
          <cell r="C17" t="str">
            <v/>
          </cell>
          <cell r="E17" t="str">
            <v/>
          </cell>
          <cell r="G17" t="str">
            <v/>
          </cell>
          <cell r="I17" t="str">
            <v/>
          </cell>
          <cell r="K17" t="str">
            <v/>
          </cell>
        </row>
        <row r="18">
          <cell r="B18" t="str">
            <v>（未選択）</v>
          </cell>
          <cell r="C18" t="str">
            <v/>
          </cell>
          <cell r="E18" t="str">
            <v/>
          </cell>
          <cell r="G18" t="str">
            <v/>
          </cell>
          <cell r="I18" t="str">
            <v/>
          </cell>
          <cell r="K18" t="str">
            <v/>
          </cell>
        </row>
        <row r="19">
          <cell r="B19" t="str">
            <v>（未選択）</v>
          </cell>
          <cell r="C19" t="str">
            <v/>
          </cell>
          <cell r="E19" t="str">
            <v/>
          </cell>
          <cell r="G19" t="str">
            <v/>
          </cell>
          <cell r="I19" t="str">
            <v/>
          </cell>
          <cell r="K19" t="str">
            <v/>
          </cell>
        </row>
        <row r="20">
          <cell r="B20" t="str">
            <v>（未選択）</v>
          </cell>
          <cell r="C20" t="str">
            <v/>
          </cell>
          <cell r="E20" t="str">
            <v/>
          </cell>
          <cell r="G20" t="str">
            <v/>
          </cell>
          <cell r="I20" t="str">
            <v/>
          </cell>
          <cell r="K20" t="str">
            <v/>
          </cell>
        </row>
        <row r="21">
          <cell r="B21" t="str">
            <v>（未選択）</v>
          </cell>
          <cell r="C21" t="str">
            <v/>
          </cell>
          <cell r="E21" t="str">
            <v/>
          </cell>
          <cell r="G21" t="str">
            <v/>
          </cell>
          <cell r="I21" t="str">
            <v/>
          </cell>
          <cell r="K21" t="str">
            <v/>
          </cell>
        </row>
        <row r="22">
          <cell r="B22" t="str">
            <v>（未使用）</v>
          </cell>
          <cell r="K22">
            <v>1</v>
          </cell>
        </row>
        <row r="23">
          <cell r="B23" t="str">
            <v>（未使用）</v>
          </cell>
          <cell r="K23">
            <v>1</v>
          </cell>
        </row>
        <row r="24">
          <cell r="B24" t="str">
            <v>（未使用）</v>
          </cell>
          <cell r="K24">
            <v>1</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8">
          <cell r="D8" t="str">
            <v>系統電力</v>
          </cell>
          <cell r="E8">
            <v>1</v>
          </cell>
          <cell r="F8" t="str">
            <v>使用量</v>
          </cell>
          <cell r="G8" t="str">
            <v>kWh</v>
          </cell>
          <cell r="H8" t="str">
            <v>---</v>
          </cell>
          <cell r="I8" t="str">
            <v>t-CO2/kWh</v>
          </cell>
          <cell r="J8" t="str">
            <v>対象</v>
          </cell>
          <cell r="Q8" t="str">
            <v>系統電力</v>
          </cell>
          <cell r="R8">
            <v>1</v>
          </cell>
          <cell r="S8" t="str">
            <v>---</v>
          </cell>
          <cell r="T8" t="str">
            <v>---</v>
          </cell>
          <cell r="U8">
            <v>4.3600000000000003E-4</v>
          </cell>
          <cell r="V8" t="str">
            <v>t-CO2/kWh</v>
          </cell>
        </row>
        <row r="9">
          <cell r="D9" t="str">
            <v>輸入原料炭</v>
          </cell>
          <cell r="E9">
            <v>0</v>
          </cell>
          <cell r="F9" t="str">
            <v>使用量</v>
          </cell>
          <cell r="G9" t="str">
            <v>t</v>
          </cell>
          <cell r="H9" t="str">
            <v>GJ/t</v>
          </cell>
          <cell r="I9" t="str">
            <v>t-CO2/GJ</v>
          </cell>
          <cell r="J9" t="str">
            <v>対象</v>
          </cell>
          <cell r="Q9" t="str">
            <v>輸入原料炭</v>
          </cell>
          <cell r="R9">
            <v>0</v>
          </cell>
          <cell r="S9">
            <v>28.7</v>
          </cell>
          <cell r="T9" t="str">
            <v>GJ/t</v>
          </cell>
          <cell r="U9">
            <v>8.9099999999999999E-2</v>
          </cell>
          <cell r="V9" t="str">
            <v>t-CO2/GJ</v>
          </cell>
        </row>
        <row r="10">
          <cell r="D10" t="str">
            <v>国産一般炭</v>
          </cell>
          <cell r="E10">
            <v>0</v>
          </cell>
          <cell r="F10" t="str">
            <v>使用量</v>
          </cell>
          <cell r="G10" t="str">
            <v>t</v>
          </cell>
          <cell r="H10" t="str">
            <v>GJ/t</v>
          </cell>
          <cell r="I10" t="str">
            <v>t-CO2/GJ</v>
          </cell>
          <cell r="J10" t="str">
            <v>対象</v>
          </cell>
          <cell r="Q10" t="str">
            <v>国産一般炭</v>
          </cell>
          <cell r="R10">
            <v>0</v>
          </cell>
          <cell r="S10">
            <v>24.2</v>
          </cell>
          <cell r="T10" t="str">
            <v>GJ/t</v>
          </cell>
          <cell r="U10">
            <v>8.8700000000000001E-2</v>
          </cell>
          <cell r="V10" t="str">
            <v>t-CO2/GJ</v>
          </cell>
        </row>
        <row r="11">
          <cell r="D11" t="str">
            <v>輸入一般炭</v>
          </cell>
          <cell r="E11">
            <v>0</v>
          </cell>
          <cell r="F11" t="str">
            <v>使用量</v>
          </cell>
          <cell r="G11" t="str">
            <v>t</v>
          </cell>
          <cell r="H11" t="str">
            <v>GJ/t</v>
          </cell>
          <cell r="I11" t="str">
            <v>t-CO2/GJ</v>
          </cell>
          <cell r="J11" t="str">
            <v>対象</v>
          </cell>
          <cell r="Q11" t="str">
            <v>輸入一般炭</v>
          </cell>
          <cell r="R11">
            <v>0</v>
          </cell>
          <cell r="S11">
            <v>26.1</v>
          </cell>
          <cell r="T11" t="str">
            <v>GJ/t</v>
          </cell>
          <cell r="U11">
            <v>8.9099999999999999E-2</v>
          </cell>
          <cell r="V11" t="str">
            <v>t-CO2/GJ</v>
          </cell>
        </row>
        <row r="12">
          <cell r="D12" t="str">
            <v>輸入無煙炭</v>
          </cell>
          <cell r="E12">
            <v>0</v>
          </cell>
          <cell r="F12" t="str">
            <v>使用量</v>
          </cell>
          <cell r="G12" t="str">
            <v>t</v>
          </cell>
          <cell r="H12" t="str">
            <v>GJ/t</v>
          </cell>
          <cell r="I12" t="str">
            <v>t-CO2/GJ</v>
          </cell>
          <cell r="J12" t="str">
            <v>対象</v>
          </cell>
          <cell r="Q12" t="str">
            <v>輸入無煙炭</v>
          </cell>
          <cell r="R12">
            <v>0</v>
          </cell>
          <cell r="S12">
            <v>27.8</v>
          </cell>
          <cell r="T12" t="str">
            <v>GJ/t</v>
          </cell>
          <cell r="U12">
            <v>9.5000000000000001E-2</v>
          </cell>
          <cell r="V12" t="str">
            <v>t-CO2/GJ</v>
          </cell>
        </row>
        <row r="13">
          <cell r="D13" t="str">
            <v>コークス</v>
          </cell>
          <cell r="E13">
            <v>0</v>
          </cell>
          <cell r="F13" t="str">
            <v>使用量</v>
          </cell>
          <cell r="G13" t="str">
            <v>t</v>
          </cell>
          <cell r="H13" t="str">
            <v>GJ/t</v>
          </cell>
          <cell r="I13" t="str">
            <v>t-CO2/GJ</v>
          </cell>
          <cell r="J13" t="str">
            <v>対象</v>
          </cell>
          <cell r="Q13" t="str">
            <v>コークス</v>
          </cell>
          <cell r="R13">
            <v>0</v>
          </cell>
          <cell r="S13">
            <v>29</v>
          </cell>
          <cell r="T13" t="str">
            <v>GJ/t</v>
          </cell>
          <cell r="U13">
            <v>0.11</v>
          </cell>
          <cell r="V13" t="str">
            <v>t-CO2/GJ</v>
          </cell>
        </row>
        <row r="14">
          <cell r="D14" t="str">
            <v>原油</v>
          </cell>
          <cell r="E14">
            <v>0</v>
          </cell>
          <cell r="F14" t="str">
            <v>使用量</v>
          </cell>
          <cell r="G14" t="str">
            <v>kl</v>
          </cell>
          <cell r="H14" t="str">
            <v>GJ/kl</v>
          </cell>
          <cell r="I14" t="str">
            <v>t-CO2/GJ</v>
          </cell>
          <cell r="J14" t="str">
            <v>対象</v>
          </cell>
          <cell r="Q14" t="str">
            <v>原油</v>
          </cell>
          <cell r="R14">
            <v>0</v>
          </cell>
          <cell r="S14">
            <v>38.299999999999997</v>
          </cell>
          <cell r="T14" t="str">
            <v>GJ/kl</v>
          </cell>
          <cell r="U14">
            <v>6.9699999999999998E-2</v>
          </cell>
          <cell r="V14" t="str">
            <v>t-CO2/GJ</v>
          </cell>
        </row>
        <row r="15">
          <cell r="D15" t="str">
            <v>ガソリン</v>
          </cell>
          <cell r="E15">
            <v>0</v>
          </cell>
          <cell r="F15" t="str">
            <v>使用量</v>
          </cell>
          <cell r="G15" t="str">
            <v>kl</v>
          </cell>
          <cell r="H15" t="str">
            <v>GJ/kl</v>
          </cell>
          <cell r="I15" t="str">
            <v>t-CO2/GJ</v>
          </cell>
          <cell r="J15" t="str">
            <v>対象</v>
          </cell>
          <cell r="Q15" t="str">
            <v>ガソリン</v>
          </cell>
          <cell r="R15">
            <v>0</v>
          </cell>
          <cell r="S15">
            <v>33.4</v>
          </cell>
          <cell r="T15" t="str">
            <v>GJ/kl</v>
          </cell>
          <cell r="U15">
            <v>6.8599999999999994E-2</v>
          </cell>
          <cell r="V15" t="str">
            <v>t-CO2/GJ</v>
          </cell>
        </row>
        <row r="16">
          <cell r="D16" t="str">
            <v>ナフサ</v>
          </cell>
          <cell r="E16">
            <v>0</v>
          </cell>
          <cell r="F16" t="str">
            <v>使用量</v>
          </cell>
          <cell r="G16" t="str">
            <v>kl</v>
          </cell>
          <cell r="H16" t="str">
            <v>GJ/kl</v>
          </cell>
          <cell r="I16" t="str">
            <v>t-CO2/GJ</v>
          </cell>
          <cell r="J16" t="str">
            <v>対象</v>
          </cell>
          <cell r="Q16" t="str">
            <v>ナフサ</v>
          </cell>
          <cell r="R16">
            <v>0</v>
          </cell>
          <cell r="S16">
            <v>33.299999999999997</v>
          </cell>
          <cell r="T16" t="str">
            <v>GJ/kl</v>
          </cell>
          <cell r="U16">
            <v>6.8199999999999997E-2</v>
          </cell>
          <cell r="V16" t="str">
            <v>t-CO2/GJ</v>
          </cell>
        </row>
        <row r="17">
          <cell r="D17" t="str">
            <v>ジェット燃料</v>
          </cell>
          <cell r="E17">
            <v>0</v>
          </cell>
          <cell r="F17" t="str">
            <v>使用量</v>
          </cell>
          <cell r="G17" t="str">
            <v>kl</v>
          </cell>
          <cell r="H17" t="str">
            <v>GJ/kl</v>
          </cell>
          <cell r="I17" t="str">
            <v>t-CO2/GJ</v>
          </cell>
          <cell r="J17" t="str">
            <v>対象</v>
          </cell>
          <cell r="Q17" t="str">
            <v>ジェット燃料</v>
          </cell>
          <cell r="R17">
            <v>0</v>
          </cell>
          <cell r="S17">
            <v>36.299999999999997</v>
          </cell>
          <cell r="T17" t="str">
            <v>GJ/kl</v>
          </cell>
          <cell r="U17">
            <v>6.8199999999999997E-2</v>
          </cell>
          <cell r="V17" t="str">
            <v>t-CO2/GJ</v>
          </cell>
        </row>
        <row r="18">
          <cell r="D18" t="str">
            <v>灯油</v>
          </cell>
          <cell r="E18">
            <v>0</v>
          </cell>
          <cell r="F18" t="str">
            <v>使用量</v>
          </cell>
          <cell r="G18" t="str">
            <v>kl</v>
          </cell>
          <cell r="H18" t="str">
            <v>GJ/kl</v>
          </cell>
          <cell r="I18" t="str">
            <v>t-CO2/GJ</v>
          </cell>
          <cell r="J18" t="str">
            <v>対象</v>
          </cell>
          <cell r="Q18" t="str">
            <v>灯油</v>
          </cell>
          <cell r="R18">
            <v>0</v>
          </cell>
          <cell r="S18">
            <v>36.5</v>
          </cell>
          <cell r="T18" t="str">
            <v>GJ/kl</v>
          </cell>
          <cell r="U18">
            <v>6.8599999999999994E-2</v>
          </cell>
          <cell r="V18" t="str">
            <v>t-CO2/GJ</v>
          </cell>
        </row>
        <row r="19">
          <cell r="D19" t="str">
            <v>軽油</v>
          </cell>
          <cell r="E19">
            <v>0</v>
          </cell>
          <cell r="F19" t="str">
            <v>使用量</v>
          </cell>
          <cell r="G19" t="str">
            <v>kl</v>
          </cell>
          <cell r="H19" t="str">
            <v>GJ/kl</v>
          </cell>
          <cell r="I19" t="str">
            <v>t-CO2/GJ</v>
          </cell>
          <cell r="J19" t="str">
            <v>対象</v>
          </cell>
          <cell r="Q19" t="str">
            <v>軽油</v>
          </cell>
          <cell r="R19">
            <v>0</v>
          </cell>
          <cell r="S19">
            <v>38</v>
          </cell>
          <cell r="T19" t="str">
            <v>GJ/kl</v>
          </cell>
          <cell r="U19">
            <v>6.8900000000000003E-2</v>
          </cell>
          <cell r="V19" t="str">
            <v>t-CO2/GJ</v>
          </cell>
        </row>
        <row r="20">
          <cell r="D20" t="str">
            <v>A重油</v>
          </cell>
          <cell r="E20">
            <v>0</v>
          </cell>
          <cell r="F20" t="str">
            <v>使用量</v>
          </cell>
          <cell r="G20" t="str">
            <v>kl</v>
          </cell>
          <cell r="H20" t="str">
            <v>GJ/kl</v>
          </cell>
          <cell r="I20" t="str">
            <v>t-CO2/GJ</v>
          </cell>
          <cell r="J20" t="str">
            <v>対象</v>
          </cell>
          <cell r="Q20" t="str">
            <v>A重油</v>
          </cell>
          <cell r="R20">
            <v>0</v>
          </cell>
          <cell r="S20">
            <v>38.9</v>
          </cell>
          <cell r="T20" t="str">
            <v>GJ/kl</v>
          </cell>
          <cell r="U20">
            <v>7.0800000000000002E-2</v>
          </cell>
          <cell r="V20" t="str">
            <v>t-CO2/GJ</v>
          </cell>
        </row>
        <row r="21">
          <cell r="D21" t="str">
            <v>B重油</v>
          </cell>
          <cell r="E21">
            <v>0</v>
          </cell>
          <cell r="F21" t="str">
            <v>使用量</v>
          </cell>
          <cell r="G21" t="str">
            <v>kl</v>
          </cell>
          <cell r="H21" t="str">
            <v>GJ/kl</v>
          </cell>
          <cell r="I21" t="str">
            <v>t-CO2/GJ</v>
          </cell>
          <cell r="J21" t="str">
            <v>対象</v>
          </cell>
          <cell r="Q21" t="str">
            <v>B重油</v>
          </cell>
          <cell r="R21">
            <v>0</v>
          </cell>
          <cell r="S21">
            <v>40.4</v>
          </cell>
          <cell r="T21" t="str">
            <v>GJ/kl</v>
          </cell>
          <cell r="U21">
            <v>7.3300000000000004E-2</v>
          </cell>
          <cell r="V21" t="str">
            <v>t-CO2/GJ</v>
          </cell>
        </row>
        <row r="22">
          <cell r="D22" t="str">
            <v>C重油</v>
          </cell>
          <cell r="E22">
            <v>0</v>
          </cell>
          <cell r="F22" t="str">
            <v>使用量</v>
          </cell>
          <cell r="G22" t="str">
            <v>kl</v>
          </cell>
          <cell r="H22" t="str">
            <v>GJ/kl</v>
          </cell>
          <cell r="I22" t="str">
            <v>t-CO2/GJ</v>
          </cell>
          <cell r="J22" t="str">
            <v>対象</v>
          </cell>
          <cell r="Q22" t="str">
            <v>C重油</v>
          </cell>
          <cell r="R22">
            <v>0</v>
          </cell>
          <cell r="S22">
            <v>41.8</v>
          </cell>
          <cell r="T22" t="str">
            <v>GJ/kl</v>
          </cell>
          <cell r="U22">
            <v>7.4099999999999999E-2</v>
          </cell>
          <cell r="V22" t="str">
            <v>t-CO2/GJ</v>
          </cell>
        </row>
        <row r="23">
          <cell r="D23" t="str">
            <v>潤滑油</v>
          </cell>
          <cell r="E23">
            <v>0</v>
          </cell>
          <cell r="F23" t="str">
            <v>使用量</v>
          </cell>
          <cell r="G23" t="str">
            <v>kl</v>
          </cell>
          <cell r="H23" t="str">
            <v>GJ/kl</v>
          </cell>
          <cell r="I23" t="str">
            <v>t-CO2/GJ</v>
          </cell>
          <cell r="J23" t="str">
            <v>対象</v>
          </cell>
          <cell r="Q23" t="str">
            <v>潤滑油</v>
          </cell>
          <cell r="R23">
            <v>0</v>
          </cell>
          <cell r="S23">
            <v>40.200000000000003</v>
          </cell>
          <cell r="T23" t="str">
            <v>GJ/kl</v>
          </cell>
          <cell r="U23">
            <v>7.2999999999999995E-2</v>
          </cell>
          <cell r="V23" t="str">
            <v>t-CO2/GJ</v>
          </cell>
        </row>
        <row r="24">
          <cell r="D24" t="str">
            <v>オイルコークス</v>
          </cell>
          <cell r="E24">
            <v>0</v>
          </cell>
          <cell r="F24" t="str">
            <v>使用量</v>
          </cell>
          <cell r="G24" t="str">
            <v>t</v>
          </cell>
          <cell r="H24" t="str">
            <v>GJ/t</v>
          </cell>
          <cell r="I24" t="str">
            <v>t-CO2/GJ</v>
          </cell>
          <cell r="J24" t="str">
            <v>対象</v>
          </cell>
          <cell r="Q24" t="str">
            <v>オイルコークス</v>
          </cell>
          <cell r="R24">
            <v>0</v>
          </cell>
          <cell r="S24">
            <v>33.299999999999997</v>
          </cell>
          <cell r="T24" t="str">
            <v>GJ/t</v>
          </cell>
          <cell r="U24">
            <v>8.9800000000000005E-2</v>
          </cell>
          <cell r="V24" t="str">
            <v>t-CO2/GJ</v>
          </cell>
        </row>
        <row r="25">
          <cell r="D25" t="str">
            <v>LPG</v>
          </cell>
          <cell r="E25">
            <v>0</v>
          </cell>
          <cell r="F25" t="str">
            <v>使用量</v>
          </cell>
          <cell r="G25" t="str">
            <v>t</v>
          </cell>
          <cell r="H25" t="str">
            <v>GJ/t</v>
          </cell>
          <cell r="I25" t="str">
            <v>t-CO2/GJ</v>
          </cell>
          <cell r="J25" t="str">
            <v>対象</v>
          </cell>
          <cell r="Q25" t="str">
            <v>LPG</v>
          </cell>
          <cell r="R25">
            <v>0</v>
          </cell>
          <cell r="S25">
            <v>50.1</v>
          </cell>
          <cell r="T25" t="str">
            <v>GJ/t</v>
          </cell>
          <cell r="U25">
            <v>6.0100000000000001E-2</v>
          </cell>
          <cell r="V25" t="str">
            <v>t-CO2/GJ</v>
          </cell>
        </row>
        <row r="26">
          <cell r="D26" t="str">
            <v>天然ガス</v>
          </cell>
          <cell r="E26">
            <v>0</v>
          </cell>
          <cell r="F26" t="str">
            <v>使用量</v>
          </cell>
          <cell r="G26" t="str">
            <v>千Nm3</v>
          </cell>
          <cell r="H26" t="str">
            <v>GJ/千Nm3</v>
          </cell>
          <cell r="I26" t="str">
            <v>t-CO2/GJ</v>
          </cell>
          <cell r="J26" t="str">
            <v>対象</v>
          </cell>
          <cell r="Q26" t="str">
            <v>天然ガス</v>
          </cell>
          <cell r="R26">
            <v>0</v>
          </cell>
          <cell r="S26">
            <v>42.4</v>
          </cell>
          <cell r="T26" t="str">
            <v>GJ/千Nm3</v>
          </cell>
          <cell r="U26">
            <v>5.0999999999999997E-2</v>
          </cell>
          <cell r="V26" t="str">
            <v>t-CO2/GJ</v>
          </cell>
        </row>
        <row r="27">
          <cell r="D27" t="str">
            <v>LNG</v>
          </cell>
          <cell r="E27">
            <v>0</v>
          </cell>
          <cell r="F27" t="str">
            <v>使用量</v>
          </cell>
          <cell r="G27" t="str">
            <v>t</v>
          </cell>
          <cell r="H27" t="str">
            <v>GJ/t</v>
          </cell>
          <cell r="I27" t="str">
            <v>t-CO2/GJ</v>
          </cell>
          <cell r="J27" t="str">
            <v>対象</v>
          </cell>
          <cell r="Q27" t="str">
            <v>LNG</v>
          </cell>
          <cell r="R27">
            <v>0</v>
          </cell>
          <cell r="S27">
            <v>54.7</v>
          </cell>
          <cell r="T27" t="str">
            <v>GJ/t</v>
          </cell>
          <cell r="U27">
            <v>5.0999999999999997E-2</v>
          </cell>
          <cell r="V27" t="str">
            <v>t-CO2/GJ</v>
          </cell>
        </row>
        <row r="28">
          <cell r="D28" t="str">
            <v>都市ガス</v>
          </cell>
          <cell r="E28">
            <v>0</v>
          </cell>
          <cell r="F28" t="str">
            <v>使用量</v>
          </cell>
          <cell r="G28" t="str">
            <v>千Nm3</v>
          </cell>
          <cell r="H28" t="str">
            <v>GJ/千Nm3</v>
          </cell>
          <cell r="I28" t="str">
            <v>t-CO2/GJ</v>
          </cell>
          <cell r="J28" t="str">
            <v>対象</v>
          </cell>
          <cell r="Q28" t="str">
            <v>都市ガス</v>
          </cell>
          <cell r="R28">
            <v>0</v>
          </cell>
          <cell r="S28" t="str">
            <v>"デフォルト値なし"</v>
          </cell>
          <cell r="T28" t="str">
            <v>GJ/千Nm3</v>
          </cell>
          <cell r="U28">
            <v>5.1299999999999998E-2</v>
          </cell>
          <cell r="V28" t="str">
            <v>t-CO2/GJ</v>
          </cell>
        </row>
        <row r="29">
          <cell r="D29" t="str">
            <v>コールタール</v>
          </cell>
          <cell r="E29">
            <v>0</v>
          </cell>
          <cell r="F29" t="str">
            <v>使用量</v>
          </cell>
          <cell r="G29" t="str">
            <v>t</v>
          </cell>
          <cell r="H29" t="str">
            <v>GJ/t</v>
          </cell>
          <cell r="I29" t="str">
            <v>t-CO2/GJ</v>
          </cell>
          <cell r="J29" t="str">
            <v>対象</v>
          </cell>
          <cell r="Q29" t="str">
            <v>コールタール</v>
          </cell>
          <cell r="R29">
            <v>0</v>
          </cell>
          <cell r="S29">
            <v>37.299999999999997</v>
          </cell>
          <cell r="T29" t="str">
            <v>GJ/t</v>
          </cell>
          <cell r="U29">
            <v>7.6600000000000001E-2</v>
          </cell>
          <cell r="V29" t="str">
            <v>t-CO2/GJ</v>
          </cell>
        </row>
        <row r="30">
          <cell r="D30" t="str">
            <v>アスファルト</v>
          </cell>
          <cell r="E30">
            <v>0</v>
          </cell>
          <cell r="F30" t="str">
            <v>使用量</v>
          </cell>
          <cell r="G30" t="str">
            <v>t</v>
          </cell>
          <cell r="H30" t="str">
            <v>GJ/t</v>
          </cell>
          <cell r="I30" t="str">
            <v>t-CO2/GJ</v>
          </cell>
          <cell r="J30" t="str">
            <v>対象</v>
          </cell>
          <cell r="Q30" t="str">
            <v>アスファルト</v>
          </cell>
          <cell r="R30">
            <v>0</v>
          </cell>
          <cell r="S30">
            <v>40</v>
          </cell>
          <cell r="T30" t="str">
            <v>GJ/t</v>
          </cell>
          <cell r="U30">
            <v>7.6300000000000007E-2</v>
          </cell>
          <cell r="V30" t="str">
            <v>t-CO2/GJ</v>
          </cell>
        </row>
        <row r="31">
          <cell r="D31" t="str">
            <v>NGL・コンデンセート</v>
          </cell>
          <cell r="E31">
            <v>0</v>
          </cell>
          <cell r="F31" t="str">
            <v>使用量</v>
          </cell>
          <cell r="G31" t="str">
            <v>kl</v>
          </cell>
          <cell r="H31" t="str">
            <v>GJ/kl</v>
          </cell>
          <cell r="I31" t="str">
            <v>t-CO2/GJ</v>
          </cell>
          <cell r="J31" t="str">
            <v>対象</v>
          </cell>
          <cell r="Q31" t="str">
            <v>NGL・コンデンセート</v>
          </cell>
          <cell r="R31">
            <v>0</v>
          </cell>
          <cell r="S31">
            <v>34.799999999999997</v>
          </cell>
          <cell r="T31" t="str">
            <v>GJ/kl</v>
          </cell>
          <cell r="U31">
            <v>6.6699999999999995E-2</v>
          </cell>
          <cell r="V31" t="str">
            <v>t-CO2/GJ</v>
          </cell>
        </row>
        <row r="32">
          <cell r="D32" t="str">
            <v>製油所ガス</v>
          </cell>
          <cell r="E32">
            <v>0</v>
          </cell>
          <cell r="F32" t="str">
            <v>使用量</v>
          </cell>
          <cell r="G32" t="str">
            <v>千Nm3</v>
          </cell>
          <cell r="H32" t="str">
            <v>GJ/千Nm3</v>
          </cell>
          <cell r="I32" t="str">
            <v>t-CO2/GJ</v>
          </cell>
          <cell r="J32" t="str">
            <v>対象</v>
          </cell>
          <cell r="Q32" t="str">
            <v>製油所ガス</v>
          </cell>
          <cell r="R32">
            <v>0</v>
          </cell>
          <cell r="S32">
            <v>51</v>
          </cell>
          <cell r="T32" t="str">
            <v>GJ/千Nm3</v>
          </cell>
          <cell r="U32">
            <v>5.28E-2</v>
          </cell>
          <cell r="V32" t="str">
            <v>t-CO2/GJ</v>
          </cell>
        </row>
        <row r="33">
          <cell r="D33" t="str">
            <v>コークス炉ガス</v>
          </cell>
          <cell r="E33">
            <v>0</v>
          </cell>
          <cell r="F33" t="str">
            <v>使用量</v>
          </cell>
          <cell r="G33" t="str">
            <v>千Nm3</v>
          </cell>
          <cell r="H33" t="str">
            <v>GJ/千Nm3</v>
          </cell>
          <cell r="I33" t="str">
            <v>t-CO2/GJ</v>
          </cell>
          <cell r="J33" t="str">
            <v>対象</v>
          </cell>
          <cell r="Q33" t="str">
            <v>コークス炉ガス</v>
          </cell>
          <cell r="R33">
            <v>0</v>
          </cell>
          <cell r="S33">
            <v>20.3</v>
          </cell>
          <cell r="T33" t="str">
            <v>GJ/千Nm3</v>
          </cell>
          <cell r="U33">
            <v>0.04</v>
          </cell>
          <cell r="V33" t="str">
            <v>t-CO2/GJ</v>
          </cell>
        </row>
        <row r="34">
          <cell r="D34" t="str">
            <v>高炉ガス</v>
          </cell>
          <cell r="E34">
            <v>0</v>
          </cell>
          <cell r="F34" t="str">
            <v>使用量</v>
          </cell>
          <cell r="G34" t="str">
            <v>千Nm3</v>
          </cell>
          <cell r="H34" t="str">
            <v>GJ/千Nm3</v>
          </cell>
          <cell r="I34" t="str">
            <v>t-CO2/GJ</v>
          </cell>
          <cell r="J34" t="str">
            <v>対象</v>
          </cell>
          <cell r="Q34" t="str">
            <v>高炉ガス</v>
          </cell>
          <cell r="R34">
            <v>0</v>
          </cell>
          <cell r="S34">
            <v>3.57</v>
          </cell>
          <cell r="T34" t="str">
            <v>GJ/千Nm3</v>
          </cell>
          <cell r="U34">
            <v>9.64E-2</v>
          </cell>
          <cell r="V34" t="str">
            <v>t-CO2/GJ</v>
          </cell>
        </row>
        <row r="35">
          <cell r="D35" t="str">
            <v>転炉ガス</v>
          </cell>
          <cell r="E35">
            <v>0</v>
          </cell>
          <cell r="F35" t="str">
            <v>使用量</v>
          </cell>
          <cell r="G35" t="str">
            <v>千Nm3</v>
          </cell>
          <cell r="H35" t="str">
            <v>GJ/千Nm3</v>
          </cell>
          <cell r="I35" t="str">
            <v>t-CO2/GJ</v>
          </cell>
          <cell r="J35" t="str">
            <v>対象</v>
          </cell>
          <cell r="Q35" t="str">
            <v>転炉ガス</v>
          </cell>
          <cell r="R35">
            <v>0</v>
          </cell>
          <cell r="S35">
            <v>8.33</v>
          </cell>
          <cell r="T35" t="str">
            <v>GJ/千Nm3</v>
          </cell>
          <cell r="U35">
            <v>0.154</v>
          </cell>
          <cell r="V35" t="str">
            <v>t-CO2/GJ</v>
          </cell>
        </row>
        <row r="36">
          <cell r="D36" t="str">
            <v>産業用蒸気</v>
          </cell>
          <cell r="E36">
            <v>1</v>
          </cell>
          <cell r="F36" t="str">
            <v>使用量</v>
          </cell>
          <cell r="G36" t="str">
            <v>GJ</v>
          </cell>
          <cell r="H36" t="str">
            <v>---</v>
          </cell>
          <cell r="I36" t="str">
            <v>t-CO2/GJ</v>
          </cell>
          <cell r="J36" t="str">
            <v>対象</v>
          </cell>
          <cell r="Q36" t="str">
            <v>産業用蒸気</v>
          </cell>
          <cell r="R36">
            <v>1</v>
          </cell>
          <cell r="S36" t="str">
            <v>---</v>
          </cell>
          <cell r="T36" t="str">
            <v>---</v>
          </cell>
          <cell r="U36">
            <v>0.06</v>
          </cell>
          <cell r="V36" t="str">
            <v>t-CO2/GJ</v>
          </cell>
        </row>
        <row r="37">
          <cell r="D37" t="str">
            <v>温水</v>
          </cell>
          <cell r="E37">
            <v>1</v>
          </cell>
          <cell r="F37" t="str">
            <v>使用量</v>
          </cell>
          <cell r="G37" t="str">
            <v>GJ</v>
          </cell>
          <cell r="H37" t="str">
            <v>---</v>
          </cell>
          <cell r="I37" t="str">
            <v>t-CO2/GJ</v>
          </cell>
          <cell r="J37" t="str">
            <v>対象</v>
          </cell>
          <cell r="Q37" t="str">
            <v>温水</v>
          </cell>
          <cell r="R37">
            <v>1</v>
          </cell>
          <cell r="S37" t="str">
            <v>---</v>
          </cell>
          <cell r="T37" t="str">
            <v>---</v>
          </cell>
          <cell r="U37">
            <v>5.7000000000000002E-2</v>
          </cell>
          <cell r="V37" t="str">
            <v>t-CO2/GJ</v>
          </cell>
        </row>
        <row r="38">
          <cell r="D38" t="str">
            <v>冷水</v>
          </cell>
          <cell r="E38">
            <v>1</v>
          </cell>
          <cell r="F38" t="str">
            <v>使用量</v>
          </cell>
          <cell r="G38" t="str">
            <v>GJ</v>
          </cell>
          <cell r="H38" t="str">
            <v>---</v>
          </cell>
          <cell r="I38" t="str">
            <v>t-CO2/GJ</v>
          </cell>
          <cell r="J38" t="str">
            <v>対象</v>
          </cell>
          <cell r="Q38" t="str">
            <v>冷水</v>
          </cell>
          <cell r="R38">
            <v>1</v>
          </cell>
          <cell r="S38" t="str">
            <v>---</v>
          </cell>
          <cell r="T38" t="str">
            <v>---</v>
          </cell>
          <cell r="U38">
            <v>5.7000000000000002E-2</v>
          </cell>
          <cell r="V38" t="str">
            <v>t-CO2/GJ</v>
          </cell>
        </row>
        <row r="39">
          <cell r="D39" t="str">
            <v>蒸気（産業用以外）</v>
          </cell>
          <cell r="E39">
            <v>1</v>
          </cell>
          <cell r="F39" t="str">
            <v>使用量</v>
          </cell>
          <cell r="G39" t="str">
            <v>GJ</v>
          </cell>
          <cell r="H39" t="str">
            <v>---</v>
          </cell>
          <cell r="I39" t="str">
            <v>t-CO2/GJ</v>
          </cell>
          <cell r="J39" t="str">
            <v>対象</v>
          </cell>
          <cell r="Q39" t="str">
            <v>蒸気（産業用以外）</v>
          </cell>
          <cell r="R39">
            <v>1</v>
          </cell>
          <cell r="S39" t="str">
            <v>---</v>
          </cell>
          <cell r="T39" t="str">
            <v>---</v>
          </cell>
          <cell r="U39">
            <v>5.7000000000000002E-2</v>
          </cell>
          <cell r="V39" t="str">
            <v>t-CO2/GJ</v>
          </cell>
        </row>
        <row r="40">
          <cell r="D40" t="str">
            <v>所内消費電力</v>
          </cell>
          <cell r="E40">
            <v>1</v>
          </cell>
          <cell r="F40" t="str">
            <v>---</v>
          </cell>
          <cell r="G40" t="str">
            <v>---</v>
          </cell>
          <cell r="H40" t="str">
            <v>---</v>
          </cell>
          <cell r="I40" t="str">
            <v>---</v>
          </cell>
          <cell r="J40" t="str">
            <v>---</v>
          </cell>
          <cell r="Q40" t="str">
            <v>所内消費電力</v>
          </cell>
          <cell r="R40">
            <v>1</v>
          </cell>
          <cell r="S40" t="str">
            <v>---</v>
          </cell>
          <cell r="T40" t="str">
            <v>---</v>
          </cell>
          <cell r="U40" t="str">
            <v>---</v>
          </cell>
          <cell r="V40" t="str">
            <v>---</v>
          </cell>
        </row>
        <row r="41">
          <cell r="D41" t="str">
            <v>外部供給電力</v>
          </cell>
          <cell r="E41">
            <v>1</v>
          </cell>
          <cell r="F41" t="str">
            <v>---</v>
          </cell>
          <cell r="G41" t="str">
            <v>---</v>
          </cell>
          <cell r="H41" t="str">
            <v>---</v>
          </cell>
          <cell r="I41" t="str">
            <v>---</v>
          </cell>
          <cell r="J41" t="str">
            <v>---</v>
          </cell>
          <cell r="Q41" t="str">
            <v>外部供給電力</v>
          </cell>
          <cell r="R41">
            <v>1</v>
          </cell>
          <cell r="S41" t="str">
            <v>---</v>
          </cell>
          <cell r="T41" t="str">
            <v>---</v>
          </cell>
          <cell r="U41" t="str">
            <v>---</v>
          </cell>
          <cell r="V41" t="str">
            <v>---</v>
          </cell>
        </row>
        <row r="42">
          <cell r="D42" t="str">
            <v>所内消費熱</v>
          </cell>
          <cell r="E42">
            <v>1</v>
          </cell>
          <cell r="F42" t="str">
            <v>---</v>
          </cell>
          <cell r="G42" t="str">
            <v>---</v>
          </cell>
          <cell r="H42" t="str">
            <v>---</v>
          </cell>
          <cell r="I42" t="str">
            <v>---</v>
          </cell>
          <cell r="J42" t="str">
            <v>---</v>
          </cell>
          <cell r="Q42" t="str">
            <v>所内消費熱</v>
          </cell>
          <cell r="R42">
            <v>1</v>
          </cell>
          <cell r="S42" t="str">
            <v>---</v>
          </cell>
          <cell r="T42" t="str">
            <v>---</v>
          </cell>
          <cell r="U42" t="str">
            <v>---</v>
          </cell>
          <cell r="V42" t="str">
            <v>---</v>
          </cell>
        </row>
        <row r="43">
          <cell r="D43" t="str">
            <v>外部供給熱</v>
          </cell>
          <cell r="E43">
            <v>1</v>
          </cell>
          <cell r="F43" t="str">
            <v>---</v>
          </cell>
          <cell r="G43" t="str">
            <v>---</v>
          </cell>
          <cell r="H43" t="str">
            <v>---</v>
          </cell>
          <cell r="I43" t="str">
            <v>---</v>
          </cell>
          <cell r="J43" t="str">
            <v>---</v>
          </cell>
          <cell r="Q43" t="str">
            <v>外部供給熱</v>
          </cell>
          <cell r="R43">
            <v>1</v>
          </cell>
          <cell r="S43" t="str">
            <v>---</v>
          </cell>
          <cell r="T43" t="str">
            <v>---</v>
          </cell>
          <cell r="U43" t="str">
            <v>---</v>
          </cell>
          <cell r="V43" t="str">
            <v>---</v>
          </cell>
        </row>
        <row r="44">
          <cell r="D44" t="str">
            <v>①廃油</v>
          </cell>
          <cell r="E44">
            <v>1</v>
          </cell>
          <cell r="F44" t="str">
            <v>焼却・使用量</v>
          </cell>
          <cell r="G44" t="str">
            <v>t</v>
          </cell>
          <cell r="H44" t="str">
            <v>---</v>
          </cell>
          <cell r="I44" t="str">
            <v>t-CO2/t</v>
          </cell>
          <cell r="J44" t="str">
            <v>---</v>
          </cell>
          <cell r="Q44" t="str">
            <v>①廃油</v>
          </cell>
          <cell r="R44">
            <v>1</v>
          </cell>
          <cell r="S44" t="str">
            <v>---</v>
          </cell>
          <cell r="T44" t="str">
            <v>---</v>
          </cell>
          <cell r="U44">
            <v>2.92</v>
          </cell>
          <cell r="V44" t="str">
            <v>t-CO2/t</v>
          </cell>
        </row>
        <row r="45">
          <cell r="D45" t="str">
            <v>②廃合成繊維</v>
          </cell>
          <cell r="E45">
            <v>1</v>
          </cell>
          <cell r="F45" t="str">
            <v>焼却・使用量</v>
          </cell>
          <cell r="G45" t="str">
            <v>t</v>
          </cell>
          <cell r="H45" t="str">
            <v>---</v>
          </cell>
          <cell r="I45" t="str">
            <v>t-CO2/t</v>
          </cell>
          <cell r="J45" t="str">
            <v>---</v>
          </cell>
          <cell r="Q45" t="str">
            <v>②廃合成繊維</v>
          </cell>
          <cell r="R45">
            <v>1</v>
          </cell>
          <cell r="S45" t="str">
            <v>---</v>
          </cell>
          <cell r="T45" t="str">
            <v>---</v>
          </cell>
          <cell r="U45">
            <v>2.29</v>
          </cell>
          <cell r="V45" t="str">
            <v>t-CO2/t</v>
          </cell>
        </row>
        <row r="46">
          <cell r="D46" t="str">
            <v>③廃ゴムタイヤ</v>
          </cell>
          <cell r="E46">
            <v>1</v>
          </cell>
          <cell r="F46" t="str">
            <v>焼却・使用量</v>
          </cell>
          <cell r="G46" t="str">
            <v>t</v>
          </cell>
          <cell r="H46" t="str">
            <v>---</v>
          </cell>
          <cell r="I46" t="str">
            <v>t-CO2/t</v>
          </cell>
          <cell r="J46" t="str">
            <v>---</v>
          </cell>
          <cell r="Q46" t="str">
            <v>③廃ゴムタイヤ</v>
          </cell>
          <cell r="R46">
            <v>1</v>
          </cell>
          <cell r="S46" t="str">
            <v>---</v>
          </cell>
          <cell r="T46" t="str">
            <v>---</v>
          </cell>
          <cell r="U46">
            <v>1.72</v>
          </cell>
          <cell r="V46" t="str">
            <v>t-CO2/t</v>
          </cell>
        </row>
        <row r="47">
          <cell r="D47" t="str">
            <v>④　②③以外の廃プラスチック類（産業廃棄物）</v>
          </cell>
          <cell r="E47">
            <v>1</v>
          </cell>
          <cell r="F47" t="str">
            <v>焼却・使用量</v>
          </cell>
          <cell r="G47" t="str">
            <v>t</v>
          </cell>
          <cell r="H47" t="str">
            <v>---</v>
          </cell>
          <cell r="I47" t="str">
            <v>t-CO2/t</v>
          </cell>
          <cell r="J47" t="str">
            <v>---</v>
          </cell>
          <cell r="Q47" t="str">
            <v>④　②③以外の廃プラスチック類（産業廃棄物）</v>
          </cell>
          <cell r="R47">
            <v>1</v>
          </cell>
          <cell r="S47" t="str">
            <v>---</v>
          </cell>
          <cell r="T47" t="str">
            <v>---</v>
          </cell>
          <cell r="U47">
            <v>2.5499999999999998</v>
          </cell>
          <cell r="V47" t="str">
            <v>t-CO2/t</v>
          </cell>
        </row>
        <row r="48">
          <cell r="D48" t="str">
            <v>⑤　②③④以外の廃プラスチック類（一般廃棄物）</v>
          </cell>
          <cell r="E48">
            <v>1</v>
          </cell>
          <cell r="F48" t="str">
            <v>焼却・使用量</v>
          </cell>
          <cell r="G48" t="str">
            <v>t</v>
          </cell>
          <cell r="H48" t="str">
            <v>---</v>
          </cell>
          <cell r="I48" t="str">
            <v>t-CO2/t</v>
          </cell>
          <cell r="J48" t="str">
            <v>---</v>
          </cell>
          <cell r="Q48" t="str">
            <v>⑤　②③④以外の廃プラスチック類（一般廃棄物）</v>
          </cell>
          <cell r="R48">
            <v>1</v>
          </cell>
          <cell r="S48" t="str">
            <v>---</v>
          </cell>
          <cell r="T48" t="str">
            <v>---</v>
          </cell>
          <cell r="U48">
            <v>2.77</v>
          </cell>
          <cell r="V48" t="str">
            <v>t-CO2/t</v>
          </cell>
        </row>
        <row r="49">
          <cell r="D49" t="str">
            <v>廃油から製造される燃料油</v>
          </cell>
          <cell r="E49">
            <v>1</v>
          </cell>
          <cell r="F49" t="str">
            <v>焼却・使用量</v>
          </cell>
          <cell r="G49" t="str">
            <v>kl</v>
          </cell>
          <cell r="H49" t="str">
            <v>---</v>
          </cell>
          <cell r="I49" t="str">
            <v>t-CO2/kl</v>
          </cell>
          <cell r="J49" t="str">
            <v>---</v>
          </cell>
          <cell r="Q49" t="str">
            <v>廃油から製造される燃料油</v>
          </cell>
          <cell r="R49">
            <v>1</v>
          </cell>
          <cell r="S49" t="str">
            <v>---</v>
          </cell>
          <cell r="T49" t="str">
            <v>---</v>
          </cell>
          <cell r="U49">
            <v>2.63</v>
          </cell>
          <cell r="V49" t="str">
            <v>t-CO2/kl</v>
          </cell>
        </row>
        <row r="50">
          <cell r="D50" t="str">
            <v>廃プラスチック類から製造される燃料油</v>
          </cell>
          <cell r="E50">
            <v>1</v>
          </cell>
          <cell r="F50" t="str">
            <v>焼却・使用量</v>
          </cell>
          <cell r="G50" t="str">
            <v>kl</v>
          </cell>
          <cell r="H50" t="str">
            <v>---</v>
          </cell>
          <cell r="I50" t="str">
            <v>t-CO2/kl</v>
          </cell>
          <cell r="J50" t="str">
            <v>---</v>
          </cell>
          <cell r="Q50" t="str">
            <v>廃プラスチック類から製造される燃料油</v>
          </cell>
          <cell r="R50">
            <v>1</v>
          </cell>
          <cell r="S50" t="str">
            <v>---</v>
          </cell>
          <cell r="T50" t="str">
            <v>---</v>
          </cell>
          <cell r="U50">
            <v>2.62</v>
          </cell>
          <cell r="V50" t="str">
            <v>t-CO2/kl</v>
          </cell>
        </row>
        <row r="51">
          <cell r="D51" t="str">
            <v>ごみ固形燃料（RPF）</v>
          </cell>
          <cell r="E51">
            <v>1</v>
          </cell>
          <cell r="F51" t="str">
            <v>焼却・使用量</v>
          </cell>
          <cell r="G51" t="str">
            <v>t</v>
          </cell>
          <cell r="H51" t="str">
            <v>---</v>
          </cell>
          <cell r="I51" t="str">
            <v>t-CO2/t</v>
          </cell>
          <cell r="J51" t="str">
            <v>---</v>
          </cell>
          <cell r="Q51" t="str">
            <v>ごみ固形燃料（RPF）</v>
          </cell>
          <cell r="R51">
            <v>1</v>
          </cell>
          <cell r="S51" t="str">
            <v>---</v>
          </cell>
          <cell r="T51" t="str">
            <v>---</v>
          </cell>
          <cell r="U51">
            <v>1.57</v>
          </cell>
          <cell r="V51" t="str">
            <v>t-CO2/t</v>
          </cell>
        </row>
        <row r="52">
          <cell r="D52" t="str">
            <v>ごみ固形燃料（RDF）</v>
          </cell>
          <cell r="E52">
            <v>1</v>
          </cell>
          <cell r="F52" t="str">
            <v>焼却・使用量</v>
          </cell>
          <cell r="G52" t="str">
            <v>t</v>
          </cell>
          <cell r="H52" t="str">
            <v>---</v>
          </cell>
          <cell r="I52" t="str">
            <v>t-CO2/t</v>
          </cell>
          <cell r="J52" t="str">
            <v>---</v>
          </cell>
          <cell r="Q52" t="str">
            <v>ごみ固形燃料（RDF）</v>
          </cell>
          <cell r="R52">
            <v>1</v>
          </cell>
          <cell r="S52" t="str">
            <v>---</v>
          </cell>
          <cell r="T52" t="str">
            <v>---</v>
          </cell>
          <cell r="U52">
            <v>0.77500000000000002</v>
          </cell>
          <cell r="V52" t="str">
            <v>t-CO2/t</v>
          </cell>
        </row>
        <row r="53">
          <cell r="D53" t="str">
            <v>セメントの製造</v>
          </cell>
          <cell r="E53">
            <v>1</v>
          </cell>
          <cell r="F53" t="str">
            <v>クリンカー製造量</v>
          </cell>
          <cell r="G53" t="str">
            <v>t</v>
          </cell>
          <cell r="H53" t="str">
            <v>---</v>
          </cell>
          <cell r="I53" t="str">
            <v>t-CO2/t</v>
          </cell>
          <cell r="J53" t="str">
            <v>---</v>
          </cell>
          <cell r="Q53" t="str">
            <v>セメントの製造</v>
          </cell>
          <cell r="R53">
            <v>1</v>
          </cell>
          <cell r="S53" t="str">
            <v>---</v>
          </cell>
          <cell r="T53" t="str">
            <v>---</v>
          </cell>
          <cell r="U53">
            <v>0.502</v>
          </cell>
          <cell r="V53" t="str">
            <v>t-CO2/t</v>
          </cell>
        </row>
        <row r="54">
          <cell r="D54" t="str">
            <v>生石灰の製造（原料：石灰石）</v>
          </cell>
          <cell r="E54">
            <v>1</v>
          </cell>
          <cell r="F54" t="str">
            <v>原料使用量</v>
          </cell>
          <cell r="G54" t="str">
            <v>t</v>
          </cell>
          <cell r="H54" t="str">
            <v>---</v>
          </cell>
          <cell r="I54" t="str">
            <v>t-CO2/t</v>
          </cell>
          <cell r="J54" t="str">
            <v>---</v>
          </cell>
          <cell r="Q54" t="str">
            <v>生石灰の製造（原料：石灰石）</v>
          </cell>
          <cell r="R54">
            <v>1</v>
          </cell>
          <cell r="S54" t="str">
            <v>---</v>
          </cell>
          <cell r="T54" t="str">
            <v>---</v>
          </cell>
          <cell r="U54">
            <v>0.42799999999999999</v>
          </cell>
          <cell r="V54" t="str">
            <v>t-CO2/t</v>
          </cell>
        </row>
        <row r="55">
          <cell r="D55" t="str">
            <v>生石灰の製造（原料：ドロマイト）</v>
          </cell>
          <cell r="E55">
            <v>1</v>
          </cell>
          <cell r="F55" t="str">
            <v>原料使用量</v>
          </cell>
          <cell r="G55" t="str">
            <v>t</v>
          </cell>
          <cell r="H55" t="str">
            <v>---</v>
          </cell>
          <cell r="I55" t="str">
            <v>t-CO2/t</v>
          </cell>
          <cell r="J55" t="str">
            <v>---</v>
          </cell>
          <cell r="Q55" t="str">
            <v>生石灰の製造（原料：ドロマイト）</v>
          </cell>
          <cell r="R55">
            <v>1</v>
          </cell>
          <cell r="S55" t="str">
            <v>---</v>
          </cell>
          <cell r="T55" t="str">
            <v>---</v>
          </cell>
          <cell r="U55">
            <v>0.44900000000000001</v>
          </cell>
          <cell r="V55" t="str">
            <v>t-CO2/t</v>
          </cell>
        </row>
        <row r="56">
          <cell r="D56" t="str">
            <v>石灰石（タンカル）の使用</v>
          </cell>
          <cell r="E56">
            <v>1</v>
          </cell>
          <cell r="F56" t="str">
            <v>使用量</v>
          </cell>
          <cell r="G56" t="str">
            <v>t</v>
          </cell>
          <cell r="H56" t="str">
            <v>---</v>
          </cell>
          <cell r="I56" t="str">
            <v>t-CO2/t</v>
          </cell>
          <cell r="J56" t="str">
            <v>---</v>
          </cell>
          <cell r="Q56" t="str">
            <v>石灰石（タンカル）の使用</v>
          </cell>
          <cell r="R56">
            <v>1</v>
          </cell>
          <cell r="S56" t="str">
            <v>---</v>
          </cell>
          <cell r="T56" t="str">
            <v>---</v>
          </cell>
          <cell r="U56">
            <v>0.44</v>
          </cell>
          <cell r="V56" t="str">
            <v>t-CO2/t</v>
          </cell>
        </row>
        <row r="57">
          <cell r="D57" t="str">
            <v>ドロマイトの使用</v>
          </cell>
          <cell r="E57">
            <v>1</v>
          </cell>
          <cell r="F57" t="str">
            <v>使用量</v>
          </cell>
          <cell r="G57" t="str">
            <v>t</v>
          </cell>
          <cell r="H57" t="str">
            <v>---</v>
          </cell>
          <cell r="I57" t="str">
            <v>t-CO2/t</v>
          </cell>
          <cell r="J57" t="str">
            <v>---</v>
          </cell>
          <cell r="Q57" t="str">
            <v>ドロマイトの使用</v>
          </cell>
          <cell r="R57">
            <v>1</v>
          </cell>
          <cell r="S57" t="str">
            <v>---</v>
          </cell>
          <cell r="T57" t="str">
            <v>---</v>
          </cell>
          <cell r="U57">
            <v>0.47099999999999997</v>
          </cell>
          <cell r="V57" t="str">
            <v>t-CO2/t</v>
          </cell>
        </row>
        <row r="58">
          <cell r="D58" t="str">
            <v>ソーダ灰の製造</v>
          </cell>
          <cell r="E58">
            <v>1</v>
          </cell>
          <cell r="F58" t="str">
            <v>追加投入量</v>
          </cell>
          <cell r="G58" t="str">
            <v>t</v>
          </cell>
          <cell r="H58" t="str">
            <v>---</v>
          </cell>
          <cell r="I58" t="str">
            <v>t-CO2/t</v>
          </cell>
          <cell r="J58" t="str">
            <v>---</v>
          </cell>
          <cell r="Q58" t="str">
            <v>ソーダ灰の製造</v>
          </cell>
          <cell r="R58">
            <v>1</v>
          </cell>
          <cell r="S58" t="str">
            <v>---</v>
          </cell>
          <cell r="T58" t="str">
            <v>---</v>
          </cell>
          <cell r="U58">
            <v>1</v>
          </cell>
          <cell r="V58" t="str">
            <v>t-CO2/t</v>
          </cell>
        </row>
        <row r="59">
          <cell r="D59" t="str">
            <v>ソーダ灰の使用</v>
          </cell>
          <cell r="E59">
            <v>1</v>
          </cell>
          <cell r="F59" t="str">
            <v>使用量</v>
          </cell>
          <cell r="G59" t="str">
            <v>t</v>
          </cell>
          <cell r="H59" t="str">
            <v>---</v>
          </cell>
          <cell r="I59" t="str">
            <v>t-CO2/t</v>
          </cell>
          <cell r="J59" t="str">
            <v>---</v>
          </cell>
          <cell r="Q59" t="str">
            <v>ソーダ灰の使用</v>
          </cell>
          <cell r="R59">
            <v>1</v>
          </cell>
          <cell r="S59" t="str">
            <v>---</v>
          </cell>
          <cell r="T59" t="str">
            <v>---</v>
          </cell>
          <cell r="U59">
            <v>0.41499999999999998</v>
          </cell>
          <cell r="V59" t="str">
            <v>t-CO2/t</v>
          </cell>
        </row>
        <row r="60">
          <cell r="D60" t="str">
            <v>アンモニアの製造（原料：石炭）</v>
          </cell>
          <cell r="E60">
            <v>1</v>
          </cell>
          <cell r="F60" t="str">
            <v>原料使用量</v>
          </cell>
          <cell r="G60" t="str">
            <v>t</v>
          </cell>
          <cell r="H60" t="str">
            <v>---</v>
          </cell>
          <cell r="I60" t="str">
            <v>t-CO2/t</v>
          </cell>
          <cell r="J60" t="str">
            <v>---</v>
          </cell>
          <cell r="Q60" t="str">
            <v>アンモニアの製造（原料：石炭）</v>
          </cell>
          <cell r="R60">
            <v>1</v>
          </cell>
          <cell r="S60" t="str">
            <v>---</v>
          </cell>
          <cell r="T60" t="str">
            <v>---</v>
          </cell>
          <cell r="U60">
            <v>2.2999999999999998</v>
          </cell>
          <cell r="V60" t="str">
            <v>t-CO2/t</v>
          </cell>
        </row>
        <row r="61">
          <cell r="D61" t="str">
            <v>アンモニアの製造（原料：ナフサ）</v>
          </cell>
          <cell r="E61">
            <v>1</v>
          </cell>
          <cell r="F61" t="str">
            <v>原料使用量</v>
          </cell>
          <cell r="G61" t="str">
            <v>kl</v>
          </cell>
          <cell r="H61" t="str">
            <v>---</v>
          </cell>
          <cell r="I61" t="str">
            <v>t-CO2/kl</v>
          </cell>
          <cell r="J61" t="str">
            <v>---</v>
          </cell>
          <cell r="Q61" t="str">
            <v>アンモニアの製造（原料：ナフサ）</v>
          </cell>
          <cell r="R61">
            <v>1</v>
          </cell>
          <cell r="S61" t="str">
            <v>---</v>
          </cell>
          <cell r="T61" t="str">
            <v>---</v>
          </cell>
          <cell r="U61">
            <v>2.2999999999999998</v>
          </cell>
          <cell r="V61" t="str">
            <v>t-CO2/kl</v>
          </cell>
        </row>
        <row r="62">
          <cell r="D62" t="str">
            <v>アンモニアの製造（原料：オイルコークス）</v>
          </cell>
          <cell r="E62">
            <v>1</v>
          </cell>
          <cell r="F62" t="str">
            <v>原料使用量</v>
          </cell>
          <cell r="G62" t="str">
            <v>t</v>
          </cell>
          <cell r="H62" t="str">
            <v>---</v>
          </cell>
          <cell r="I62" t="str">
            <v>t-CO2/t</v>
          </cell>
          <cell r="J62" t="str">
            <v>---</v>
          </cell>
          <cell r="Q62" t="str">
            <v>アンモニアの製造（原料：オイルコークス）</v>
          </cell>
          <cell r="R62">
            <v>1</v>
          </cell>
          <cell r="S62" t="str">
            <v>---</v>
          </cell>
          <cell r="T62" t="str">
            <v>---</v>
          </cell>
          <cell r="U62">
            <v>3</v>
          </cell>
          <cell r="V62" t="str">
            <v>t-CO2/t</v>
          </cell>
        </row>
        <row r="63">
          <cell r="D63" t="str">
            <v>アンモニアの製造（原料：LPG）</v>
          </cell>
          <cell r="E63">
            <v>1</v>
          </cell>
          <cell r="F63" t="str">
            <v>原料使用量</v>
          </cell>
          <cell r="G63" t="str">
            <v>t</v>
          </cell>
          <cell r="H63" t="str">
            <v>---</v>
          </cell>
          <cell r="I63" t="str">
            <v>t-CO2/t</v>
          </cell>
          <cell r="J63" t="str">
            <v>---</v>
          </cell>
          <cell r="Q63" t="str">
            <v>アンモニアの製造（原料：LPG）</v>
          </cell>
          <cell r="R63">
            <v>1</v>
          </cell>
          <cell r="S63" t="str">
            <v>---</v>
          </cell>
          <cell r="T63" t="str">
            <v>---</v>
          </cell>
          <cell r="U63">
            <v>3</v>
          </cell>
          <cell r="V63" t="str">
            <v>t-CO2/t</v>
          </cell>
        </row>
        <row r="64">
          <cell r="D64" t="str">
            <v>アンモニアの製造（原料：LNG）</v>
          </cell>
          <cell r="E64">
            <v>1</v>
          </cell>
          <cell r="F64" t="str">
            <v>原料使用量</v>
          </cell>
          <cell r="G64" t="str">
            <v>t</v>
          </cell>
          <cell r="H64" t="str">
            <v>---</v>
          </cell>
          <cell r="I64" t="str">
            <v>t-CO2/t</v>
          </cell>
          <cell r="J64" t="str">
            <v>---</v>
          </cell>
          <cell r="Q64" t="str">
            <v>アンモニアの製造（原料：LNG）</v>
          </cell>
          <cell r="R64">
            <v>1</v>
          </cell>
          <cell r="S64" t="str">
            <v>---</v>
          </cell>
          <cell r="T64" t="str">
            <v>---</v>
          </cell>
          <cell r="U64">
            <v>2.8</v>
          </cell>
          <cell r="V64" t="str">
            <v>t-CO2/t</v>
          </cell>
        </row>
        <row r="65">
          <cell r="D65" t="str">
            <v>アンモニアの製造（原料：天然ガス(LNG除く)）</v>
          </cell>
          <cell r="E65">
            <v>1</v>
          </cell>
          <cell r="F65" t="str">
            <v>原料使用量</v>
          </cell>
          <cell r="G65" t="str">
            <v>千Nm3</v>
          </cell>
          <cell r="H65" t="str">
            <v>---</v>
          </cell>
          <cell r="I65" t="str">
            <v>t-CO2/千Nm3</v>
          </cell>
          <cell r="J65" t="str">
            <v>---</v>
          </cell>
          <cell r="Q65" t="str">
            <v>アンモニアの製造（原料：天然ガス(LNG除く)）</v>
          </cell>
          <cell r="R65">
            <v>1</v>
          </cell>
          <cell r="S65" t="str">
            <v>---</v>
          </cell>
          <cell r="T65" t="str">
            <v>---</v>
          </cell>
          <cell r="U65">
            <v>2.2000000000000002</v>
          </cell>
          <cell r="V65" t="str">
            <v>t-CO2/千Nm3</v>
          </cell>
        </row>
        <row r="66">
          <cell r="D66" t="str">
            <v>アンモニアの製造（原料：コークス炉ガス）</v>
          </cell>
          <cell r="E66">
            <v>1</v>
          </cell>
          <cell r="F66" t="str">
            <v>原料使用量</v>
          </cell>
          <cell r="G66" t="str">
            <v>千Nm3</v>
          </cell>
          <cell r="H66" t="str">
            <v>---</v>
          </cell>
          <cell r="I66" t="str">
            <v>t-CO2/千Nm3</v>
          </cell>
          <cell r="J66" t="str">
            <v>---</v>
          </cell>
          <cell r="Q66" t="str">
            <v>アンモニアの製造（原料：コークス炉ガス）</v>
          </cell>
          <cell r="R66">
            <v>1</v>
          </cell>
          <cell r="S66" t="str">
            <v>---</v>
          </cell>
          <cell r="T66" t="str">
            <v>---</v>
          </cell>
          <cell r="U66">
            <v>0.81</v>
          </cell>
          <cell r="V66" t="str">
            <v>t-CO2/千Nm3</v>
          </cell>
        </row>
        <row r="67">
          <cell r="D67" t="str">
            <v>アンモニアの製造（原料：石油系炭化水素ガス）</v>
          </cell>
          <cell r="E67">
            <v>1</v>
          </cell>
          <cell r="F67" t="str">
            <v>原料使用量</v>
          </cell>
          <cell r="G67" t="str">
            <v>千Nm3</v>
          </cell>
          <cell r="H67" t="str">
            <v>---</v>
          </cell>
          <cell r="I67" t="str">
            <v>t-CO2/千Nm3</v>
          </cell>
          <cell r="J67" t="str">
            <v>---</v>
          </cell>
          <cell r="Q67" t="str">
            <v>アンモニアの製造（原料：石油系炭化水素ガス）</v>
          </cell>
          <cell r="R67">
            <v>1</v>
          </cell>
          <cell r="S67" t="str">
            <v>---</v>
          </cell>
          <cell r="T67" t="str">
            <v>---</v>
          </cell>
          <cell r="U67">
            <v>2.2999999999999998</v>
          </cell>
          <cell r="V67" t="str">
            <v>t-CO2/千Nm3</v>
          </cell>
        </row>
        <row r="68">
          <cell r="D68" t="str">
            <v>シリコンカーバイドの製造</v>
          </cell>
          <cell r="E68">
            <v>1</v>
          </cell>
          <cell r="F68" t="str">
            <v>石油コークス使用量</v>
          </cell>
          <cell r="G68" t="str">
            <v>t</v>
          </cell>
          <cell r="H68" t="str">
            <v>---</v>
          </cell>
          <cell r="I68" t="str">
            <v>t-CO2/t</v>
          </cell>
          <cell r="J68" t="str">
            <v>---</v>
          </cell>
          <cell r="Q68" t="str">
            <v>シリコンカーバイドの製造</v>
          </cell>
          <cell r="R68">
            <v>1</v>
          </cell>
          <cell r="S68" t="str">
            <v>---</v>
          </cell>
          <cell r="T68" t="str">
            <v>---</v>
          </cell>
          <cell r="U68">
            <v>2.2999999999999998</v>
          </cell>
          <cell r="V68" t="str">
            <v>t-CO2/t</v>
          </cell>
        </row>
        <row r="69">
          <cell r="D69" t="str">
            <v>カルシウムカーバイドの製造（石灰石起源）</v>
          </cell>
          <cell r="E69">
            <v>1</v>
          </cell>
          <cell r="F69" t="str">
            <v>製造量</v>
          </cell>
          <cell r="G69" t="str">
            <v>t</v>
          </cell>
          <cell r="H69" t="str">
            <v>---</v>
          </cell>
          <cell r="I69" t="str">
            <v>t-CO2/t</v>
          </cell>
          <cell r="J69" t="str">
            <v>---</v>
          </cell>
          <cell r="Q69" t="str">
            <v>カルシウムカーバイドの製造（石灰石起源）</v>
          </cell>
          <cell r="R69">
            <v>1</v>
          </cell>
          <cell r="S69" t="str">
            <v>---</v>
          </cell>
          <cell r="T69" t="str">
            <v>---</v>
          </cell>
          <cell r="U69">
            <v>0.76</v>
          </cell>
          <cell r="V69" t="str">
            <v>t-CO2/t</v>
          </cell>
        </row>
        <row r="70">
          <cell r="D70" t="str">
            <v>カルシウムカーバイドの製造（還元剤起源）</v>
          </cell>
          <cell r="E70">
            <v>1</v>
          </cell>
          <cell r="F70" t="str">
            <v>製造量</v>
          </cell>
          <cell r="G70" t="str">
            <v>t</v>
          </cell>
          <cell r="H70" t="str">
            <v>---</v>
          </cell>
          <cell r="I70" t="str">
            <v>t-CO2/t</v>
          </cell>
          <cell r="J70" t="str">
            <v>---</v>
          </cell>
          <cell r="Q70" t="str">
            <v>カルシウムカーバイドの製造（還元剤起源）</v>
          </cell>
          <cell r="R70">
            <v>1</v>
          </cell>
          <cell r="S70" t="str">
            <v>---</v>
          </cell>
          <cell r="T70" t="str">
            <v>---</v>
          </cell>
          <cell r="U70">
            <v>1.1000000000000001</v>
          </cell>
          <cell r="V70" t="str">
            <v>t-CO2/t</v>
          </cell>
        </row>
        <row r="71">
          <cell r="D71" t="str">
            <v>エチレンの製造</v>
          </cell>
          <cell r="E71">
            <v>1</v>
          </cell>
          <cell r="F71" t="str">
            <v>製造量</v>
          </cell>
          <cell r="G71" t="str">
            <v>t</v>
          </cell>
          <cell r="H71" t="str">
            <v>---</v>
          </cell>
          <cell r="I71" t="str">
            <v>t-CO2/t</v>
          </cell>
          <cell r="J71" t="str">
            <v>---</v>
          </cell>
          <cell r="Q71" t="str">
            <v>エチレンの製造</v>
          </cell>
          <cell r="R71">
            <v>1</v>
          </cell>
          <cell r="S71" t="str">
            <v>---</v>
          </cell>
          <cell r="T71" t="str">
            <v>---</v>
          </cell>
          <cell r="U71">
            <v>1.4E-2</v>
          </cell>
          <cell r="V71" t="str">
            <v>t-CO2/t</v>
          </cell>
        </row>
        <row r="72">
          <cell r="D72" t="str">
            <v>カルシウムカーバイドを原料としたアセチレンの使用（燃焼）</v>
          </cell>
          <cell r="E72">
            <v>1</v>
          </cell>
          <cell r="F72" t="str">
            <v>使用量</v>
          </cell>
          <cell r="G72" t="str">
            <v>t</v>
          </cell>
          <cell r="H72" t="str">
            <v>---</v>
          </cell>
          <cell r="I72" t="str">
            <v>t-CO2/t</v>
          </cell>
          <cell r="J72" t="str">
            <v>---</v>
          </cell>
          <cell r="Q72" t="str">
            <v>カルシウムカーバイドを原料としたアセチレンの使用（燃焼）</v>
          </cell>
          <cell r="R72">
            <v>1</v>
          </cell>
          <cell r="S72" t="str">
            <v>---</v>
          </cell>
          <cell r="T72" t="str">
            <v>---</v>
          </cell>
          <cell r="U72">
            <v>3.4</v>
          </cell>
          <cell r="V72" t="str">
            <v>t-CO2/t</v>
          </cell>
        </row>
        <row r="73">
          <cell r="D73" t="str">
            <v>電気炉を使用した粗鋼の製造</v>
          </cell>
          <cell r="E73">
            <v>1</v>
          </cell>
          <cell r="F73" t="str">
            <v>製造量</v>
          </cell>
          <cell r="G73" t="str">
            <v>t</v>
          </cell>
          <cell r="H73" t="str">
            <v>---</v>
          </cell>
          <cell r="I73" t="str">
            <v>t-CO2/t</v>
          </cell>
          <cell r="J73" t="str">
            <v>---</v>
          </cell>
          <cell r="Q73" t="str">
            <v>電気炉を使用した粗鋼の製造</v>
          </cell>
          <cell r="R73">
            <v>1</v>
          </cell>
          <cell r="S73" t="str">
            <v>---</v>
          </cell>
          <cell r="T73" t="str">
            <v>---</v>
          </cell>
          <cell r="U73">
            <v>5.0000000000000001E-3</v>
          </cell>
          <cell r="V73" t="str">
            <v>t-CO2/t</v>
          </cell>
        </row>
        <row r="74">
          <cell r="D74" t="str">
            <v>ドライアイス／液化炭酸ガス／噴霧器の使用</v>
          </cell>
          <cell r="E74">
            <v>1</v>
          </cell>
          <cell r="F74" t="str">
            <v>使用量</v>
          </cell>
          <cell r="G74" t="str">
            <v>t</v>
          </cell>
          <cell r="H74" t="str">
            <v>---</v>
          </cell>
          <cell r="I74" t="str">
            <v>t-CO2/t</v>
          </cell>
          <cell r="J74" t="str">
            <v>---</v>
          </cell>
          <cell r="Q74" t="str">
            <v>ドライアイス／液化炭酸ガス／噴霧器の使用</v>
          </cell>
          <cell r="R74">
            <v>1</v>
          </cell>
          <cell r="S74" t="str">
            <v>---</v>
          </cell>
          <cell r="T74" t="str">
            <v>---</v>
          </cell>
          <cell r="U74">
            <v>1</v>
          </cell>
          <cell r="V74" t="str">
            <v>t-CO2/t</v>
          </cell>
        </row>
        <row r="75">
          <cell r="D75" t="str">
            <v>その他（要：備考欄への詳細記載）</v>
          </cell>
          <cell r="J75" t="str">
            <v>---</v>
          </cell>
        </row>
      </sheetData>
      <sheetData sheetId="48">
        <row r="6">
          <cell r="C6" t="str">
            <v>系統電力</v>
          </cell>
          <cell r="D6">
            <v>8.6400000000000001E-3</v>
          </cell>
          <cell r="E6" t="str">
            <v>GJ/kWh</v>
          </cell>
        </row>
        <row r="7">
          <cell r="C7" t="str">
            <v>産業用蒸気</v>
          </cell>
          <cell r="D7">
            <v>1.17</v>
          </cell>
          <cell r="E7" t="str">
            <v>GJ</v>
          </cell>
        </row>
        <row r="8">
          <cell r="C8" t="str">
            <v>温水</v>
          </cell>
          <cell r="D8">
            <v>1.19</v>
          </cell>
          <cell r="E8" t="str">
            <v>GJ</v>
          </cell>
        </row>
        <row r="9">
          <cell r="C9" t="str">
            <v>冷水</v>
          </cell>
          <cell r="D9">
            <v>1.19</v>
          </cell>
          <cell r="E9" t="str">
            <v>GJ</v>
          </cell>
        </row>
        <row r="10">
          <cell r="C10" t="str">
            <v>蒸気（産業用以外）</v>
          </cell>
          <cell r="D10">
            <v>1.19</v>
          </cell>
          <cell r="E10" t="str">
            <v>GJ</v>
          </cell>
        </row>
      </sheetData>
      <sheetData sheetId="49">
        <row r="3">
          <cell r="L3">
            <v>11111</v>
          </cell>
          <cell r="M3" t="str">
            <v>熱源機（ボイラーを除く）の不要時停止</v>
          </cell>
          <cell r="N3" t="str">
            <v>運用改善</v>
          </cell>
          <cell r="O3" t="str">
            <v>空調システム（発生）</v>
          </cell>
        </row>
        <row r="4">
          <cell r="L4">
            <v>11112</v>
          </cell>
          <cell r="M4" t="str">
            <v>吸収式冷温水機の燃焼空気比低減</v>
          </cell>
          <cell r="N4" t="str">
            <v>運用改善</v>
          </cell>
          <cell r="O4" t="str">
            <v>空調システム（発生）</v>
          </cell>
        </row>
        <row r="5">
          <cell r="L5">
            <v>11113</v>
          </cell>
          <cell r="M5" t="str">
            <v>冷却水設定温度・流量の適正化</v>
          </cell>
          <cell r="N5" t="str">
            <v>運用改善</v>
          </cell>
          <cell r="O5" t="str">
            <v>空調システム（発生）</v>
          </cell>
        </row>
        <row r="6">
          <cell r="L6">
            <v>11114</v>
          </cell>
          <cell r="M6" t="str">
            <v>冷水・温水出口温度の調整</v>
          </cell>
          <cell r="N6" t="str">
            <v>運用改善</v>
          </cell>
          <cell r="O6" t="str">
            <v>空調システム（発生）</v>
          </cell>
        </row>
        <row r="7">
          <cell r="L7">
            <v>11115</v>
          </cell>
          <cell r="M7" t="str">
            <v>蓄熱システム運転スケジュールの調整</v>
          </cell>
          <cell r="N7" t="str">
            <v>運用改善</v>
          </cell>
          <cell r="O7" t="str">
            <v>空調システム（発生）</v>
          </cell>
        </row>
        <row r="8">
          <cell r="L8">
            <v>11116</v>
          </cell>
          <cell r="M8" t="str">
            <v>密閉式冷却塔熱交換器のスケール除去</v>
          </cell>
          <cell r="N8" t="str">
            <v>運用改善</v>
          </cell>
          <cell r="O8" t="str">
            <v>空調システム（発生）</v>
          </cell>
        </row>
        <row r="9">
          <cell r="L9">
            <v>11117</v>
          </cell>
          <cell r="M9" t="str">
            <v>冷却塔充てん材の清掃</v>
          </cell>
          <cell r="N9" t="str">
            <v>運用改善</v>
          </cell>
          <cell r="O9" t="str">
            <v>空調システム（発生）</v>
          </cell>
        </row>
        <row r="10">
          <cell r="L10">
            <v>11118</v>
          </cell>
          <cell r="M10" t="str">
            <v>室外機フィンの清掃・洗浄</v>
          </cell>
          <cell r="N10" t="str">
            <v>運用改善</v>
          </cell>
          <cell r="O10" t="str">
            <v>空調システム（発生）</v>
          </cell>
        </row>
        <row r="11">
          <cell r="L11">
            <v>11110</v>
          </cell>
          <cell r="M11" t="str">
            <v>メニューにない対策（運用改善）</v>
          </cell>
          <cell r="N11" t="str">
            <v>運用改善</v>
          </cell>
          <cell r="O11" t="str">
            <v>空調システム（発生）</v>
          </cell>
        </row>
        <row r="12">
          <cell r="L12">
            <v>11121</v>
          </cell>
          <cell r="M12" t="str">
            <v>室外機の放熱環境改善（遮熱、散水等）</v>
          </cell>
          <cell r="N12" t="str">
            <v>部分更新・機能付加</v>
          </cell>
          <cell r="O12" t="str">
            <v>空調システム（発生）</v>
          </cell>
        </row>
        <row r="13">
          <cell r="L13">
            <v>11122</v>
          </cell>
          <cell r="M13" t="str">
            <v>フリークーリング制御機能の追加</v>
          </cell>
          <cell r="N13" t="str">
            <v>部分更新・機能付加</v>
          </cell>
          <cell r="O13" t="str">
            <v>空調システム（発生）</v>
          </cell>
        </row>
        <row r="14">
          <cell r="L14">
            <v>11123</v>
          </cell>
          <cell r="M14" t="str">
            <v>熱交換器温度制御の導入</v>
          </cell>
          <cell r="N14" t="str">
            <v>部分更新・機能付加</v>
          </cell>
          <cell r="O14" t="str">
            <v>空調システム（発生）</v>
          </cell>
        </row>
        <row r="15">
          <cell r="L15" t="str">
            <v>-</v>
          </cell>
          <cell r="M15" t="str">
            <v>冷却塔ファンのインバータ制御機能の追加</v>
          </cell>
          <cell r="N15" t="str">
            <v>部分更新・機能付加</v>
          </cell>
          <cell r="O15" t="str">
            <v>空調システム（発生）</v>
          </cell>
        </row>
        <row r="16">
          <cell r="L16">
            <v>11125</v>
          </cell>
          <cell r="M16" t="str">
            <v>冷水蓄熱槽の放熱ロス改善</v>
          </cell>
          <cell r="N16" t="str">
            <v>部分更新・機能付加</v>
          </cell>
          <cell r="O16" t="str">
            <v>空調システム（発生）</v>
          </cell>
        </row>
        <row r="17">
          <cell r="L17">
            <v>11126</v>
          </cell>
          <cell r="M17" t="str">
            <v>遠隔監視・管理サービスの導入</v>
          </cell>
          <cell r="N17" t="str">
            <v>部分更新・機能付加</v>
          </cell>
          <cell r="O17" t="str">
            <v>空調システム（発生）</v>
          </cell>
        </row>
        <row r="18">
          <cell r="L18">
            <v>11120</v>
          </cell>
          <cell r="M18" t="str">
            <v>メニューにない対策（部分更新・機能付加）</v>
          </cell>
          <cell r="N18" t="str">
            <v>部分更新・機能付加</v>
          </cell>
          <cell r="O18" t="str">
            <v>空調システム（発生）</v>
          </cell>
        </row>
        <row r="19">
          <cell r="L19">
            <v>11131</v>
          </cell>
          <cell r="M19" t="str">
            <v>高効率ターボ冷凍機の導入</v>
          </cell>
          <cell r="N19" t="str">
            <v>設備導入</v>
          </cell>
          <cell r="O19" t="str">
            <v>空調システム（発生）</v>
          </cell>
        </row>
        <row r="20">
          <cell r="L20">
            <v>11132</v>
          </cell>
          <cell r="M20" t="str">
            <v>熱回収ヒートポンプの導入</v>
          </cell>
          <cell r="N20" t="str">
            <v>設備導入</v>
          </cell>
          <cell r="O20" t="str">
            <v>空調システム（発生）</v>
          </cell>
        </row>
        <row r="21">
          <cell r="L21">
            <v>11133</v>
          </cell>
          <cell r="M21" t="str">
            <v>デシカント空調システムの導入</v>
          </cell>
          <cell r="N21" t="str">
            <v>設備導入</v>
          </cell>
          <cell r="O21" t="str">
            <v>空調システム（発生）</v>
          </cell>
        </row>
        <row r="22">
          <cell r="L22">
            <v>11134</v>
          </cell>
          <cell r="M22" t="str">
            <v>高効率ヒートポンプチラーの導入（老朽化更新を含む）</v>
          </cell>
          <cell r="N22" t="str">
            <v>設備導入</v>
          </cell>
          <cell r="O22" t="str">
            <v>空調システム（発生）</v>
          </cell>
        </row>
        <row r="23">
          <cell r="L23">
            <v>11135</v>
          </cell>
          <cell r="M23" t="str">
            <v>高効率パッケージエアコンの導入（老朽化更新を含む）</v>
          </cell>
          <cell r="N23" t="str">
            <v>設備導入</v>
          </cell>
          <cell r="O23" t="str">
            <v>空調システム（発生）</v>
          </cell>
        </row>
        <row r="24">
          <cell r="L24">
            <v>11136</v>
          </cell>
          <cell r="M24" t="str">
            <v>その他の高効率熱源機(ボイラーを除く)の導入(セントラル空調方式)</v>
          </cell>
          <cell r="N24" t="str">
            <v>設備導入</v>
          </cell>
          <cell r="O24" t="str">
            <v>空調システム（発生）</v>
          </cell>
        </row>
        <row r="25">
          <cell r="L25">
            <v>11130</v>
          </cell>
          <cell r="M25" t="str">
            <v>メニューにない対策（設備導入）</v>
          </cell>
          <cell r="N25" t="str">
            <v>設備導入</v>
          </cell>
          <cell r="O25" t="str">
            <v>空調システム（発生）</v>
          </cell>
        </row>
        <row r="26">
          <cell r="L26">
            <v>11141</v>
          </cell>
          <cell r="M26" t="str">
            <v>再生可能エネルギー（地中熱、太陽熱等）利用空調設備の導入</v>
          </cell>
          <cell r="N26" t="str">
            <v>燃料低炭素化</v>
          </cell>
          <cell r="O26" t="str">
            <v>空調システム（発生）</v>
          </cell>
        </row>
        <row r="27">
          <cell r="L27" t="str">
            <v>-</v>
          </cell>
          <cell r="M27" t="str">
            <v>高効率ヒートポンプチラーの導入（燃料転換）</v>
          </cell>
          <cell r="N27" t="str">
            <v>燃料低炭素化</v>
          </cell>
          <cell r="O27" t="str">
            <v>空調システム（発生）</v>
          </cell>
        </row>
        <row r="28">
          <cell r="L28" t="str">
            <v>-</v>
          </cell>
          <cell r="M28" t="str">
            <v>高効率パッケージエアコンの導入（燃料転換）</v>
          </cell>
          <cell r="N28" t="str">
            <v>燃料低炭素化</v>
          </cell>
          <cell r="O28" t="str">
            <v>空調システム（発生）</v>
          </cell>
        </row>
        <row r="29">
          <cell r="L29">
            <v>11140</v>
          </cell>
          <cell r="M29" t="str">
            <v>メニューにない対策（燃料低炭素化）</v>
          </cell>
          <cell r="N29" t="str">
            <v>燃料低炭素化</v>
          </cell>
          <cell r="O29" t="str">
            <v>空調システム（発生）</v>
          </cell>
        </row>
        <row r="30">
          <cell r="L30">
            <v>11151</v>
          </cell>
          <cell r="M30" t="str">
            <v>高効率ヒートポンプチラーの導入</v>
          </cell>
          <cell r="N30" t="str">
            <v>電化</v>
          </cell>
          <cell r="O30" t="str">
            <v>空調システム（発生）</v>
          </cell>
        </row>
        <row r="31">
          <cell r="L31">
            <v>11152</v>
          </cell>
          <cell r="M31" t="str">
            <v>高効率パッケージエアコンの導入</v>
          </cell>
          <cell r="N31" t="str">
            <v>電化</v>
          </cell>
          <cell r="O31" t="str">
            <v>空調システム（発生）</v>
          </cell>
        </row>
        <row r="32">
          <cell r="L32">
            <v>11150</v>
          </cell>
          <cell r="M32" t="str">
            <v>メニューにない対策（電化）</v>
          </cell>
          <cell r="N32" t="str">
            <v>電化</v>
          </cell>
          <cell r="O32" t="str">
            <v>空調システム（発生）</v>
          </cell>
        </row>
        <row r="33">
          <cell r="L33" t="str">
            <v>11160_mr</v>
          </cell>
          <cell r="M33" t="str">
            <v>メニューにない対策（電力低炭素化）</v>
          </cell>
          <cell r="N33" t="str">
            <v>電力低炭素化</v>
          </cell>
          <cell r="O33" t="str">
            <v>空調システム（発生）</v>
          </cell>
        </row>
        <row r="34">
          <cell r="L34">
            <v>11211</v>
          </cell>
          <cell r="M34" t="str">
            <v>空調室内機のフィルター、コイル等の清掃</v>
          </cell>
          <cell r="N34" t="str">
            <v>運用改善</v>
          </cell>
          <cell r="O34" t="str">
            <v>空調システム（移送）</v>
          </cell>
        </row>
        <row r="35">
          <cell r="L35">
            <v>11210</v>
          </cell>
          <cell r="M35" t="str">
            <v>メニューにない対策（運用改善）</v>
          </cell>
          <cell r="N35" t="str">
            <v>運用改善</v>
          </cell>
          <cell r="O35" t="str">
            <v>空調システム（移送）</v>
          </cell>
        </row>
        <row r="36">
          <cell r="L36">
            <v>11221</v>
          </cell>
          <cell r="M36" t="str">
            <v>移送配管等の漏れ防止、断熱補修</v>
          </cell>
          <cell r="N36" t="str">
            <v>部分更新・機能付加</v>
          </cell>
          <cell r="O36" t="str">
            <v>空調システム（移送）</v>
          </cell>
        </row>
        <row r="37">
          <cell r="L37" t="str">
            <v>-</v>
          </cell>
          <cell r="M37" t="str">
            <v>空調機・換気ファンの省エネファンベルト導入</v>
          </cell>
          <cell r="N37" t="str">
            <v>部分更新・機能付加</v>
          </cell>
          <cell r="O37" t="str">
            <v>空調システム（移送）</v>
          </cell>
        </row>
        <row r="38">
          <cell r="L38">
            <v>11223</v>
          </cell>
          <cell r="M38" t="str">
            <v>可変風量（VAV）制御方式の導入</v>
          </cell>
          <cell r="N38" t="str">
            <v>部分更新・機能付加</v>
          </cell>
          <cell r="O38" t="str">
            <v>空調システム（移送）</v>
          </cell>
        </row>
        <row r="39">
          <cell r="L39">
            <v>11220</v>
          </cell>
          <cell r="M39" t="str">
            <v>メニューにない対策（部分更新・機能付加）</v>
          </cell>
          <cell r="N39" t="str">
            <v>部分更新・機能付加</v>
          </cell>
          <cell r="O39" t="str">
            <v>空調システム（移送）</v>
          </cell>
        </row>
        <row r="40">
          <cell r="L40">
            <v>11231</v>
          </cell>
          <cell r="M40" t="str">
            <v>大温度差送風・送水システムの導入</v>
          </cell>
          <cell r="N40" t="str">
            <v>設備導入</v>
          </cell>
          <cell r="O40" t="str">
            <v>空調システム（移送）</v>
          </cell>
        </row>
        <row r="41">
          <cell r="L41" t="str">
            <v>-</v>
          </cell>
          <cell r="M41" t="str">
            <v>高効率ファン（プラグファン等）の導入</v>
          </cell>
          <cell r="N41" t="str">
            <v>設備導入</v>
          </cell>
          <cell r="O41" t="str">
            <v>空調システム（移送）</v>
          </cell>
        </row>
        <row r="42">
          <cell r="L42">
            <v>11230</v>
          </cell>
          <cell r="M42" t="str">
            <v>メニューにない対策（設備導入）</v>
          </cell>
          <cell r="N42" t="str">
            <v>設備導入</v>
          </cell>
          <cell r="O42" t="str">
            <v>空調システム（移送）</v>
          </cell>
        </row>
        <row r="43">
          <cell r="L43" t="str">
            <v>11240_tq</v>
          </cell>
          <cell r="M43" t="str">
            <v>メニューにない対策（燃料低炭素化）</v>
          </cell>
          <cell r="N43" t="str">
            <v>燃料低炭素化</v>
          </cell>
          <cell r="O43" t="str">
            <v>空調システム（移送）</v>
          </cell>
        </row>
        <row r="44">
          <cell r="L44" t="str">
            <v>11250_iz</v>
          </cell>
          <cell r="M44" t="str">
            <v>メニューにない対策（電化）</v>
          </cell>
          <cell r="N44" t="str">
            <v>電化</v>
          </cell>
          <cell r="O44" t="str">
            <v>空調システム（移送）</v>
          </cell>
        </row>
        <row r="45">
          <cell r="L45" t="str">
            <v>11260_sm</v>
          </cell>
          <cell r="M45" t="str">
            <v>メニューにない対策（電力低炭素化）</v>
          </cell>
          <cell r="N45" t="str">
            <v>電力低炭素化</v>
          </cell>
          <cell r="O45" t="str">
            <v>空調システム（移送）</v>
          </cell>
        </row>
        <row r="46">
          <cell r="L46">
            <v>11311</v>
          </cell>
          <cell r="M46" t="str">
            <v>空調・換気不要時の空調・換気停止、運転時間短縮</v>
          </cell>
          <cell r="N46" t="str">
            <v>運用改善</v>
          </cell>
          <cell r="O46" t="str">
            <v>空調システム（消費）</v>
          </cell>
        </row>
        <row r="47">
          <cell r="L47">
            <v>11312</v>
          </cell>
          <cell r="M47" t="str">
            <v>外気取り入れ量の縮小・停止</v>
          </cell>
          <cell r="N47" t="str">
            <v>運用改善</v>
          </cell>
          <cell r="O47" t="str">
            <v>空調システム（消費）</v>
          </cell>
        </row>
        <row r="48">
          <cell r="L48">
            <v>11313</v>
          </cell>
          <cell r="M48" t="str">
            <v>冷房時の再熱運転の停止</v>
          </cell>
          <cell r="N48" t="str">
            <v>運用改善</v>
          </cell>
          <cell r="O48" t="str">
            <v>空調システム（消費）</v>
          </cell>
        </row>
        <row r="49">
          <cell r="L49">
            <v>11314</v>
          </cell>
          <cell r="M49" t="str">
            <v>夜間等の冷気取入れ（ナイトパージ）</v>
          </cell>
          <cell r="N49" t="str">
            <v>運用改善</v>
          </cell>
          <cell r="O49" t="str">
            <v>空調システム（消費）</v>
          </cell>
        </row>
        <row r="50">
          <cell r="L50">
            <v>11315</v>
          </cell>
          <cell r="M50" t="str">
            <v>冷暖房ミキシングロスの防止</v>
          </cell>
          <cell r="N50" t="str">
            <v>運用改善</v>
          </cell>
          <cell r="O50" t="str">
            <v>空調システム（消費）</v>
          </cell>
        </row>
        <row r="51">
          <cell r="L51">
            <v>11316</v>
          </cell>
          <cell r="M51" t="str">
            <v>冷暖房設定温度・湿度の緩和</v>
          </cell>
          <cell r="N51" t="str">
            <v>運用改善</v>
          </cell>
          <cell r="O51" t="str">
            <v>空調システム（消費）</v>
          </cell>
        </row>
        <row r="52">
          <cell r="L52">
            <v>11317</v>
          </cell>
          <cell r="M52" t="str">
            <v>全熱交換器の有効利用</v>
          </cell>
          <cell r="N52" t="str">
            <v>運用改善</v>
          </cell>
          <cell r="O52" t="str">
            <v>空調システム（消費）</v>
          </cell>
        </row>
        <row r="53">
          <cell r="L53">
            <v>11310</v>
          </cell>
          <cell r="M53" t="str">
            <v>メニューにない対策（運用改善）</v>
          </cell>
          <cell r="N53" t="str">
            <v>運用改善</v>
          </cell>
          <cell r="O53" t="str">
            <v>空調システム（消費）</v>
          </cell>
        </row>
        <row r="54">
          <cell r="L54">
            <v>11321</v>
          </cell>
          <cell r="M54" t="str">
            <v>空調・換気のスケジュール運転・断続運転制御の導入</v>
          </cell>
          <cell r="N54" t="str">
            <v>部分更新・機能付加</v>
          </cell>
          <cell r="O54" t="str">
            <v>空調システム（消費）</v>
          </cell>
        </row>
        <row r="55">
          <cell r="L55">
            <v>11322</v>
          </cell>
          <cell r="M55" t="str">
            <v>センサーを利用した外気量自動制御システムの導入</v>
          </cell>
          <cell r="N55" t="str">
            <v>部分更新・機能付加</v>
          </cell>
          <cell r="O55" t="str">
            <v>空調システム（消費）</v>
          </cell>
        </row>
        <row r="56">
          <cell r="L56">
            <v>11323</v>
          </cell>
          <cell r="M56" t="str">
            <v>外気冷房空調システムの導入（中間期に送風のみ）</v>
          </cell>
          <cell r="N56" t="str">
            <v>部分更新・機能付加</v>
          </cell>
          <cell r="O56" t="str">
            <v>空調システム（消費）</v>
          </cell>
        </row>
        <row r="57">
          <cell r="L57">
            <v>11324</v>
          </cell>
          <cell r="M57" t="str">
            <v>直接噴霧加湿による加湿蒸気量の低減</v>
          </cell>
          <cell r="N57" t="str">
            <v>部分更新・機能付加</v>
          </cell>
          <cell r="O57" t="str">
            <v>空調システム（消費）</v>
          </cell>
        </row>
        <row r="58">
          <cell r="L58">
            <v>11325</v>
          </cell>
          <cell r="M58" t="str">
            <v>空調ゾーニング細分化、発熱源の断熱強化</v>
          </cell>
          <cell r="N58" t="str">
            <v>部分更新・機能付加</v>
          </cell>
          <cell r="O58" t="str">
            <v>空調システム（消費）</v>
          </cell>
        </row>
        <row r="59">
          <cell r="L59">
            <v>11326</v>
          </cell>
          <cell r="M59" t="str">
            <v>屋根の断熱性・遮熱性向上（遮熱塗料、散水等）</v>
          </cell>
          <cell r="N59" t="str">
            <v>部分更新・機能付加</v>
          </cell>
          <cell r="O59" t="str">
            <v>空調システム（消費）</v>
          </cell>
        </row>
        <row r="60">
          <cell r="L60">
            <v>11327</v>
          </cell>
          <cell r="M60" t="str">
            <v>窓の断熱性・遮熱性向上（フィルム、塗料、ガラス、ブラインド等）</v>
          </cell>
          <cell r="N60" t="str">
            <v>部分更新・機能付加</v>
          </cell>
          <cell r="O60" t="str">
            <v>空調システム（消費）</v>
          </cell>
        </row>
        <row r="61">
          <cell r="L61">
            <v>11328</v>
          </cell>
          <cell r="M61" t="str">
            <v>その他の建物断熱性・遮熱性の向上</v>
          </cell>
          <cell r="N61" t="str">
            <v>部分更新・機能付加</v>
          </cell>
          <cell r="O61" t="str">
            <v>空調システム（消費）</v>
          </cell>
        </row>
        <row r="62">
          <cell r="L62">
            <v>11320</v>
          </cell>
          <cell r="M62" t="str">
            <v>メニューにない対策（部分更新・機能付加）</v>
          </cell>
          <cell r="N62" t="str">
            <v>部分更新・機能付加</v>
          </cell>
          <cell r="O62" t="str">
            <v>空調システム（消費）</v>
          </cell>
        </row>
        <row r="63">
          <cell r="L63">
            <v>11331</v>
          </cell>
          <cell r="M63" t="str">
            <v>全熱交換器の導入</v>
          </cell>
          <cell r="N63" t="str">
            <v>設備導入</v>
          </cell>
          <cell r="O63" t="str">
            <v>空調システム（消費）</v>
          </cell>
        </row>
        <row r="64">
          <cell r="L64">
            <v>11332</v>
          </cell>
          <cell r="M64" t="str">
            <v>置換空調・成層空調システムの導入</v>
          </cell>
          <cell r="N64" t="str">
            <v>設備導入</v>
          </cell>
          <cell r="O64" t="str">
            <v>空調システム（消費）</v>
          </cell>
        </row>
        <row r="65">
          <cell r="L65">
            <v>11333</v>
          </cell>
          <cell r="M65" t="str">
            <v>高性能窓システム（エアフローウィンドー等）の導入</v>
          </cell>
          <cell r="N65" t="str">
            <v>設備導入</v>
          </cell>
          <cell r="O65" t="str">
            <v>空調システム（消費）</v>
          </cell>
        </row>
        <row r="66">
          <cell r="L66">
            <v>11330</v>
          </cell>
          <cell r="M66" t="str">
            <v>メニューにない対策（設備導入）</v>
          </cell>
          <cell r="N66" t="str">
            <v>設備導入</v>
          </cell>
          <cell r="O66" t="str">
            <v>空調システム（消費）</v>
          </cell>
        </row>
        <row r="67">
          <cell r="L67" t="str">
            <v>11340_pr</v>
          </cell>
          <cell r="M67" t="str">
            <v>メニューにない対策（燃料低炭素化）</v>
          </cell>
          <cell r="N67" t="str">
            <v>燃料低炭素化</v>
          </cell>
          <cell r="O67" t="str">
            <v>空調システム（消費）</v>
          </cell>
        </row>
        <row r="68">
          <cell r="L68" t="str">
            <v>11350_fx</v>
          </cell>
          <cell r="M68" t="str">
            <v>メニューにない対策（電化）</v>
          </cell>
          <cell r="N68" t="str">
            <v>電化</v>
          </cell>
          <cell r="O68" t="str">
            <v>空調システム（消費）</v>
          </cell>
        </row>
        <row r="69">
          <cell r="L69" t="str">
            <v>11360_rp</v>
          </cell>
          <cell r="M69" t="str">
            <v>メニューにない対策（電力低炭素化）</v>
          </cell>
          <cell r="N69" t="str">
            <v>電力低炭素化</v>
          </cell>
          <cell r="O69" t="str">
            <v>空調システム（消費）</v>
          </cell>
        </row>
        <row r="70">
          <cell r="L70">
            <v>12111</v>
          </cell>
          <cell r="M70" t="str">
            <v>ボイラーの不要時停止</v>
          </cell>
          <cell r="N70" t="str">
            <v>運用改善</v>
          </cell>
          <cell r="O70" t="str">
            <v>蒸気システム（発生）</v>
          </cell>
        </row>
        <row r="71">
          <cell r="L71">
            <v>12112</v>
          </cell>
          <cell r="M71" t="str">
            <v>高効率ボイラーの優先運転（運転台数の削減）</v>
          </cell>
          <cell r="N71" t="str">
            <v>運用改善</v>
          </cell>
          <cell r="O71" t="str">
            <v>蒸気システム（発生）</v>
          </cell>
        </row>
        <row r="72">
          <cell r="L72">
            <v>12113</v>
          </cell>
          <cell r="M72" t="str">
            <v>ボイラーの運転圧力調整</v>
          </cell>
          <cell r="N72" t="str">
            <v>運用改善</v>
          </cell>
          <cell r="O72" t="str">
            <v>蒸気システム（発生）</v>
          </cell>
        </row>
        <row r="73">
          <cell r="L73">
            <v>12114</v>
          </cell>
          <cell r="M73" t="str">
            <v>ボイラーの燃焼空気比改善</v>
          </cell>
          <cell r="N73" t="str">
            <v>運用改善</v>
          </cell>
          <cell r="O73" t="str">
            <v>蒸気システム（発生）</v>
          </cell>
        </row>
        <row r="74">
          <cell r="L74">
            <v>12115</v>
          </cell>
          <cell r="M74" t="str">
            <v>バーナーチップの清掃・交換</v>
          </cell>
          <cell r="N74" t="str">
            <v>運用改善</v>
          </cell>
          <cell r="O74" t="str">
            <v>蒸気システム（発生）</v>
          </cell>
        </row>
        <row r="75">
          <cell r="L75">
            <v>12116</v>
          </cell>
          <cell r="M75" t="str">
            <v>ボイラーのブロー量の適正化</v>
          </cell>
          <cell r="N75" t="str">
            <v>運用改善</v>
          </cell>
          <cell r="O75" t="str">
            <v>蒸気システム（発生）</v>
          </cell>
        </row>
        <row r="76">
          <cell r="L76">
            <v>12117</v>
          </cell>
          <cell r="M76" t="str">
            <v>ボイラーの停止時間の電源遮断</v>
          </cell>
          <cell r="N76" t="str">
            <v>運用改善</v>
          </cell>
          <cell r="O76" t="str">
            <v>蒸気システム（発生）</v>
          </cell>
        </row>
        <row r="77">
          <cell r="L77">
            <v>12110</v>
          </cell>
          <cell r="M77" t="str">
            <v>メニューにない対策（運用改善）</v>
          </cell>
          <cell r="N77" t="str">
            <v>運用改善</v>
          </cell>
          <cell r="O77" t="str">
            <v>蒸気システム（発生）</v>
          </cell>
        </row>
        <row r="78">
          <cell r="L78">
            <v>12121</v>
          </cell>
          <cell r="M78" t="str">
            <v>給水タンク等の保温</v>
          </cell>
          <cell r="N78" t="str">
            <v>部分更新・機能付加</v>
          </cell>
          <cell r="O78" t="str">
            <v>蒸気システム（発生）</v>
          </cell>
        </row>
        <row r="79">
          <cell r="L79">
            <v>12122</v>
          </cell>
          <cell r="M79" t="str">
            <v>ボイラー排ガス利用による高効率化（給水予熱、燃焼空気予熱等）</v>
          </cell>
          <cell r="N79" t="str">
            <v>部分更新・機能付加</v>
          </cell>
          <cell r="O79" t="str">
            <v>蒸気システム（発生）</v>
          </cell>
        </row>
        <row r="80">
          <cell r="L80">
            <v>12123</v>
          </cell>
          <cell r="M80" t="str">
            <v>ブロー水の顕熱回収（給水予熱装置の導入）</v>
          </cell>
          <cell r="N80" t="str">
            <v>部分更新・機能付加</v>
          </cell>
          <cell r="O80" t="str">
            <v>蒸気システム（発生）</v>
          </cell>
        </row>
        <row r="81">
          <cell r="L81">
            <v>12124</v>
          </cell>
          <cell r="M81" t="str">
            <v>中小型ボイラーの省エネ燃焼システムの導入</v>
          </cell>
          <cell r="N81" t="str">
            <v>部分更新・機能付加</v>
          </cell>
          <cell r="O81" t="str">
            <v>蒸気システム（発生）</v>
          </cell>
        </row>
        <row r="82">
          <cell r="L82">
            <v>12125</v>
          </cell>
          <cell r="M82" t="str">
            <v>ボイラー本体の断熱保温</v>
          </cell>
          <cell r="N82" t="str">
            <v>部分更新・機能付加</v>
          </cell>
          <cell r="O82" t="str">
            <v>蒸気システム（発生）</v>
          </cell>
        </row>
        <row r="83">
          <cell r="L83">
            <v>12120</v>
          </cell>
          <cell r="M83" t="str">
            <v>メニューにない対策（部分更新・機能付加）</v>
          </cell>
          <cell r="N83" t="str">
            <v>部分更新・機能付加</v>
          </cell>
          <cell r="O83" t="str">
            <v>蒸気システム（発生）</v>
          </cell>
        </row>
        <row r="84">
          <cell r="L84">
            <v>12131</v>
          </cell>
          <cell r="M84" t="str">
            <v>高効率ボイラーの導入（潜熱回収型等）</v>
          </cell>
          <cell r="N84" t="str">
            <v>設備導入</v>
          </cell>
          <cell r="O84" t="str">
            <v>蒸気システム（発生）</v>
          </cell>
        </row>
        <row r="85">
          <cell r="L85">
            <v>12130</v>
          </cell>
          <cell r="M85" t="str">
            <v>メニューにない対策（設備導入）</v>
          </cell>
          <cell r="N85" t="str">
            <v>設備導入</v>
          </cell>
          <cell r="O85" t="str">
            <v>蒸気システム（発生）</v>
          </cell>
        </row>
        <row r="86">
          <cell r="L86" t="str">
            <v>-</v>
          </cell>
          <cell r="M86" t="str">
            <v>高温ヒートポンプの導入</v>
          </cell>
          <cell r="N86" t="str">
            <v>燃料低炭素化</v>
          </cell>
          <cell r="O86" t="str">
            <v>蒸気システム（発生）</v>
          </cell>
        </row>
        <row r="87">
          <cell r="L87">
            <v>12142</v>
          </cell>
          <cell r="M87" t="str">
            <v>燃料転換（重油焚きからガス焚きボイラー）</v>
          </cell>
          <cell r="N87" t="str">
            <v>燃料低炭素化</v>
          </cell>
          <cell r="O87" t="str">
            <v>蒸気システム（発生）</v>
          </cell>
        </row>
        <row r="88">
          <cell r="L88">
            <v>12143</v>
          </cell>
          <cell r="M88" t="str">
            <v>燃料転換（重油焚きからガス焚きボイラー以外）</v>
          </cell>
          <cell r="N88" t="str">
            <v>燃料低炭素化</v>
          </cell>
          <cell r="O88" t="str">
            <v>蒸気システム（発生）</v>
          </cell>
        </row>
        <row r="89">
          <cell r="L89">
            <v>12144</v>
          </cell>
          <cell r="M89" t="str">
            <v>バイオマスボイラーの導入（給湯用を除く）</v>
          </cell>
          <cell r="N89" t="str">
            <v>燃料低炭素化</v>
          </cell>
          <cell r="O89" t="str">
            <v>蒸気システム（発生）</v>
          </cell>
        </row>
        <row r="90">
          <cell r="L90">
            <v>12140</v>
          </cell>
          <cell r="M90" t="str">
            <v>メニューにない対策（燃料低炭素化）</v>
          </cell>
          <cell r="N90" t="str">
            <v>燃料低炭素化</v>
          </cell>
          <cell r="O90" t="str">
            <v>蒸気システム（発生）</v>
          </cell>
        </row>
        <row r="91">
          <cell r="L91">
            <v>12151</v>
          </cell>
          <cell r="M91" t="str">
            <v>高温ヒートポンプの導入</v>
          </cell>
          <cell r="N91" t="str">
            <v>電化</v>
          </cell>
          <cell r="O91" t="str">
            <v>蒸気システム（発生）</v>
          </cell>
        </row>
        <row r="92">
          <cell r="L92">
            <v>12150</v>
          </cell>
          <cell r="M92" t="str">
            <v>メニューにない対策（電化）</v>
          </cell>
          <cell r="N92" t="str">
            <v>電化</v>
          </cell>
          <cell r="O92" t="str">
            <v>蒸気システム（発生）</v>
          </cell>
        </row>
        <row r="93">
          <cell r="L93" t="str">
            <v>12160_fs</v>
          </cell>
          <cell r="M93" t="str">
            <v>メニューにない対策（電力低炭素化）</v>
          </cell>
          <cell r="N93" t="str">
            <v>電力低炭素化</v>
          </cell>
          <cell r="O93" t="str">
            <v>蒸気システム（発生）</v>
          </cell>
        </row>
        <row r="94">
          <cell r="L94">
            <v>12210</v>
          </cell>
          <cell r="M94" t="str">
            <v>メニューにない対策（運用改善）</v>
          </cell>
          <cell r="N94" t="str">
            <v>運用改善</v>
          </cell>
          <cell r="O94" t="str">
            <v>蒸気システム（移送）</v>
          </cell>
        </row>
        <row r="95">
          <cell r="L95">
            <v>12221</v>
          </cell>
          <cell r="M95" t="str">
            <v>蒸気配管経路の見直し</v>
          </cell>
          <cell r="N95" t="str">
            <v>部分更新・機能付加</v>
          </cell>
          <cell r="O95" t="str">
            <v>蒸気システム（移送）</v>
          </cell>
        </row>
        <row r="96">
          <cell r="L96">
            <v>12222</v>
          </cell>
          <cell r="M96" t="str">
            <v>蒸気配管・蒸気バルブ・フランジ等の断熱強化</v>
          </cell>
          <cell r="N96" t="str">
            <v>部分更新・機能付加</v>
          </cell>
          <cell r="O96" t="str">
            <v>蒸気システム（移送）</v>
          </cell>
        </row>
        <row r="97">
          <cell r="L97">
            <v>12223</v>
          </cell>
          <cell r="M97" t="str">
            <v>蒸気漏れの配管・継手・バルブ類の管理・更新</v>
          </cell>
          <cell r="N97" t="str">
            <v>部分更新・機能付加</v>
          </cell>
          <cell r="O97" t="str">
            <v>蒸気システム（移送）</v>
          </cell>
        </row>
        <row r="98">
          <cell r="L98">
            <v>12224</v>
          </cell>
          <cell r="M98" t="str">
            <v>スチームトラップとドレン回収装置の管理・更新</v>
          </cell>
          <cell r="N98" t="str">
            <v>部分更新・機能付加</v>
          </cell>
          <cell r="O98" t="str">
            <v>蒸気システム（移送）</v>
          </cell>
        </row>
        <row r="99">
          <cell r="L99">
            <v>12220</v>
          </cell>
          <cell r="M99" t="str">
            <v>メニューにない対策（部分更新・機能付加）</v>
          </cell>
          <cell r="N99" t="str">
            <v>部分更新・機能付加</v>
          </cell>
          <cell r="O99" t="str">
            <v>蒸気システム（移送）</v>
          </cell>
        </row>
        <row r="100">
          <cell r="L100">
            <v>12231</v>
          </cell>
          <cell r="M100" t="str">
            <v>蒸気減圧ラインへのタービン設置による動力回収</v>
          </cell>
          <cell r="N100" t="str">
            <v>設備導入</v>
          </cell>
          <cell r="O100" t="str">
            <v>蒸気システム（移送）</v>
          </cell>
        </row>
        <row r="101">
          <cell r="L101">
            <v>12230</v>
          </cell>
          <cell r="M101" t="str">
            <v>メニューにない対策（設備導入）</v>
          </cell>
          <cell r="N101" t="str">
            <v>設備導入</v>
          </cell>
          <cell r="O101" t="str">
            <v>蒸気システム（移送）</v>
          </cell>
        </row>
        <row r="102">
          <cell r="L102" t="str">
            <v>12240_ye</v>
          </cell>
          <cell r="M102" t="str">
            <v>メニューにない対策（燃料低炭素化）</v>
          </cell>
          <cell r="N102" t="str">
            <v>燃料低炭素化</v>
          </cell>
          <cell r="O102" t="str">
            <v>蒸気システム（移送）</v>
          </cell>
        </row>
        <row r="103">
          <cell r="L103" t="str">
            <v>12250_ab</v>
          </cell>
          <cell r="M103" t="str">
            <v>メニューにない対策（電化）</v>
          </cell>
          <cell r="N103" t="str">
            <v>電化</v>
          </cell>
          <cell r="O103" t="str">
            <v>蒸気システム（移送）</v>
          </cell>
        </row>
        <row r="104">
          <cell r="L104" t="str">
            <v>12260_mv</v>
          </cell>
          <cell r="M104" t="str">
            <v>メニューにない対策（電力低炭素化）</v>
          </cell>
          <cell r="N104" t="str">
            <v>電力低炭素化</v>
          </cell>
          <cell r="O104" t="str">
            <v>蒸気システム（移送）</v>
          </cell>
        </row>
        <row r="105">
          <cell r="L105">
            <v>12311</v>
          </cell>
          <cell r="M105" t="str">
            <v>利用蒸気の温度・蒸気圧の低減</v>
          </cell>
          <cell r="N105" t="str">
            <v>運用改善</v>
          </cell>
          <cell r="O105" t="str">
            <v>蒸気システム（消費）</v>
          </cell>
        </row>
        <row r="106">
          <cell r="L106">
            <v>12310</v>
          </cell>
          <cell r="M106" t="str">
            <v>メニューにない対策（運用改善）</v>
          </cell>
          <cell r="N106" t="str">
            <v>運用改善</v>
          </cell>
          <cell r="O106" t="str">
            <v>蒸気システム（消費）</v>
          </cell>
        </row>
        <row r="107">
          <cell r="L107">
            <v>12321</v>
          </cell>
          <cell r="M107" t="str">
            <v>ドレン水回収設備・フラッシュ蒸気利用設備の導入</v>
          </cell>
          <cell r="N107" t="str">
            <v>部分更新・機能付加</v>
          </cell>
          <cell r="O107" t="str">
            <v>蒸気システム（消費）</v>
          </cell>
        </row>
        <row r="108">
          <cell r="L108">
            <v>12322</v>
          </cell>
          <cell r="M108" t="str">
            <v>蒸気使用機器の断熱保温</v>
          </cell>
          <cell r="N108" t="str">
            <v>部分更新・機能付加</v>
          </cell>
          <cell r="O108" t="str">
            <v>蒸気システム（消費）</v>
          </cell>
        </row>
        <row r="109">
          <cell r="L109">
            <v>12320</v>
          </cell>
          <cell r="M109" t="str">
            <v>メニューにない対策（部分更新・機能付加）</v>
          </cell>
          <cell r="N109" t="str">
            <v>部分更新・機能付加</v>
          </cell>
          <cell r="O109" t="str">
            <v>蒸気システム（消費）</v>
          </cell>
        </row>
        <row r="110">
          <cell r="L110">
            <v>12330</v>
          </cell>
          <cell r="M110" t="str">
            <v>メニューにない対策（設備導入）</v>
          </cell>
          <cell r="N110" t="str">
            <v>設備導入</v>
          </cell>
          <cell r="O110" t="str">
            <v>蒸気システム（消費）</v>
          </cell>
        </row>
        <row r="111">
          <cell r="L111">
            <v>12340</v>
          </cell>
          <cell r="M111" t="str">
            <v>メニューにない対策（燃料低炭素化）</v>
          </cell>
          <cell r="N111" t="str">
            <v>燃料低炭素化</v>
          </cell>
          <cell r="O111" t="str">
            <v>蒸気システム（消費）</v>
          </cell>
        </row>
        <row r="112">
          <cell r="L112" t="str">
            <v>12350_wn</v>
          </cell>
          <cell r="M112" t="str">
            <v>メニューにない対策（電化）</v>
          </cell>
          <cell r="N112" t="str">
            <v>電化</v>
          </cell>
          <cell r="O112" t="str">
            <v>蒸気システム（消費）</v>
          </cell>
        </row>
        <row r="113">
          <cell r="L113" t="str">
            <v>12360_ae</v>
          </cell>
          <cell r="M113" t="str">
            <v>メニューにない対策（電力低炭素化）</v>
          </cell>
          <cell r="N113" t="str">
            <v>電力低炭素化</v>
          </cell>
          <cell r="O113" t="str">
            <v>蒸気システム（消費）</v>
          </cell>
        </row>
        <row r="114">
          <cell r="L114" t="str">
            <v>-</v>
          </cell>
          <cell r="M114" t="str">
            <v>冷却水設定温度・流量の適正化</v>
          </cell>
          <cell r="N114" t="str">
            <v>運用改善</v>
          </cell>
          <cell r="O114" t="str">
            <v>冷却水システム（発生）</v>
          </cell>
        </row>
        <row r="115">
          <cell r="L115" t="str">
            <v>-</v>
          </cell>
          <cell r="M115" t="str">
            <v>吸収式冷凍機の燃焼空気比改善</v>
          </cell>
          <cell r="N115" t="str">
            <v>運用改善</v>
          </cell>
          <cell r="O115" t="str">
            <v>冷却水システム（発生）</v>
          </cell>
        </row>
        <row r="116">
          <cell r="L116">
            <v>13110</v>
          </cell>
          <cell r="M116" t="str">
            <v>メニューにない対策（運用改善）</v>
          </cell>
          <cell r="N116" t="str">
            <v>運用改善</v>
          </cell>
          <cell r="O116" t="str">
            <v>冷却水システム（発生）</v>
          </cell>
        </row>
        <row r="117">
          <cell r="L117" t="str">
            <v>-</v>
          </cell>
          <cell r="M117" t="str">
            <v>冷却塔ファンのインバータ制御機能の追加</v>
          </cell>
          <cell r="N117" t="str">
            <v>部分更新・機能付加</v>
          </cell>
          <cell r="O117" t="str">
            <v>冷却水システム（発生）</v>
          </cell>
        </row>
        <row r="118">
          <cell r="L118" t="str">
            <v>-</v>
          </cell>
          <cell r="M118" t="str">
            <v>フリークーリング制御機能の追加</v>
          </cell>
          <cell r="N118" t="str">
            <v>部分更新・機能付加</v>
          </cell>
          <cell r="O118" t="str">
            <v>冷却水システム（発生）</v>
          </cell>
        </row>
        <row r="119">
          <cell r="L119">
            <v>13120</v>
          </cell>
          <cell r="M119" t="str">
            <v>メニューにない対策（部分更新・機能付加）</v>
          </cell>
          <cell r="N119" t="str">
            <v>部分更新・機能付加</v>
          </cell>
          <cell r="O119" t="str">
            <v>冷却水システム（発生）</v>
          </cell>
        </row>
        <row r="120">
          <cell r="L120" t="str">
            <v>-</v>
          </cell>
          <cell r="M120" t="str">
            <v>省エネ型の冷却塔の導入</v>
          </cell>
          <cell r="N120" t="str">
            <v>設備導入</v>
          </cell>
          <cell r="O120" t="str">
            <v>冷却水システム（発生）</v>
          </cell>
        </row>
        <row r="121">
          <cell r="L121" t="str">
            <v>-</v>
          </cell>
          <cell r="M121" t="str">
            <v>熱回収ヒートポンプの導入</v>
          </cell>
          <cell r="N121" t="str">
            <v>設備導入</v>
          </cell>
          <cell r="O121" t="str">
            <v>冷却水システム（発生）</v>
          </cell>
        </row>
        <row r="122">
          <cell r="L122" t="str">
            <v>-</v>
          </cell>
          <cell r="M122" t="str">
            <v>高効率チラーの導入</v>
          </cell>
          <cell r="N122" t="str">
            <v>設備導入</v>
          </cell>
          <cell r="O122" t="str">
            <v>冷却水システム（発生）</v>
          </cell>
        </row>
        <row r="123">
          <cell r="L123">
            <v>13130</v>
          </cell>
          <cell r="M123" t="str">
            <v>メニューにない対策（設備導入）</v>
          </cell>
          <cell r="N123" t="str">
            <v>設備導入</v>
          </cell>
          <cell r="O123" t="str">
            <v>冷却水システム（発生）</v>
          </cell>
        </row>
        <row r="124">
          <cell r="L124" t="str">
            <v>13140_ew</v>
          </cell>
          <cell r="M124" t="str">
            <v>メニューにない対策（燃料低炭素化）</v>
          </cell>
          <cell r="N124" t="str">
            <v>燃料低炭素化</v>
          </cell>
          <cell r="O124" t="str">
            <v>冷却水システム（発生）</v>
          </cell>
        </row>
        <row r="125">
          <cell r="L125" t="str">
            <v>13150_ip</v>
          </cell>
          <cell r="M125" t="str">
            <v>メニューにない対策（電化）</v>
          </cell>
          <cell r="N125" t="str">
            <v>電化</v>
          </cell>
          <cell r="O125" t="str">
            <v>冷却水システム（発生）</v>
          </cell>
        </row>
        <row r="126">
          <cell r="L126" t="str">
            <v>13160_yk</v>
          </cell>
          <cell r="M126" t="str">
            <v>メニューにない対策（電力低炭素化）</v>
          </cell>
          <cell r="N126" t="str">
            <v>電力低炭素化</v>
          </cell>
          <cell r="O126" t="str">
            <v>冷却水システム（発生）</v>
          </cell>
        </row>
        <row r="127">
          <cell r="L127">
            <v>13210</v>
          </cell>
          <cell r="M127" t="str">
            <v>メニューにない対策（運用改善）</v>
          </cell>
          <cell r="N127" t="str">
            <v>運用改善</v>
          </cell>
          <cell r="O127" t="str">
            <v>冷却水システム（移送）</v>
          </cell>
        </row>
        <row r="128">
          <cell r="L128">
            <v>13220</v>
          </cell>
          <cell r="M128" t="str">
            <v>メニューにない対策（部分更新・機能付加）</v>
          </cell>
          <cell r="N128" t="str">
            <v>部分更新・機能付加</v>
          </cell>
          <cell r="O128" t="str">
            <v>冷却水システム（移送）</v>
          </cell>
        </row>
        <row r="129">
          <cell r="L129">
            <v>13230</v>
          </cell>
          <cell r="M129" t="str">
            <v>メニューにない対策（設備導入）</v>
          </cell>
          <cell r="N129" t="str">
            <v>設備導入</v>
          </cell>
          <cell r="O129" t="str">
            <v>冷却水システム（移送）</v>
          </cell>
        </row>
        <row r="130">
          <cell r="L130" t="str">
            <v>13240_zh</v>
          </cell>
          <cell r="M130" t="str">
            <v>メニューにない対策（燃料低炭素化）</v>
          </cell>
          <cell r="N130" t="str">
            <v>燃料低炭素化</v>
          </cell>
          <cell r="O130" t="str">
            <v>冷却水システム（移送）</v>
          </cell>
        </row>
        <row r="131">
          <cell r="L131" t="str">
            <v>13250_iu</v>
          </cell>
          <cell r="M131" t="str">
            <v>メニューにない対策（電化）</v>
          </cell>
          <cell r="N131" t="str">
            <v>電化</v>
          </cell>
          <cell r="O131" t="str">
            <v>冷却水システム（移送）</v>
          </cell>
        </row>
        <row r="132">
          <cell r="L132" t="str">
            <v>13260_ha</v>
          </cell>
          <cell r="M132" t="str">
            <v>メニューにない対策（電力低炭素化）</v>
          </cell>
          <cell r="N132" t="str">
            <v>電力低炭素化</v>
          </cell>
          <cell r="O132" t="str">
            <v>冷却水システム（移送）</v>
          </cell>
        </row>
        <row r="133">
          <cell r="L133">
            <v>13310</v>
          </cell>
          <cell r="M133" t="str">
            <v>メニューにない対策（運用改善）</v>
          </cell>
          <cell r="N133" t="str">
            <v>運用改善</v>
          </cell>
          <cell r="O133" t="str">
            <v>冷却水システム（消費）</v>
          </cell>
        </row>
        <row r="134">
          <cell r="L134">
            <v>13320</v>
          </cell>
          <cell r="M134" t="str">
            <v>メニューにない対策（部分更新・機能付加）</v>
          </cell>
          <cell r="N134" t="str">
            <v>部分更新・機能付加</v>
          </cell>
          <cell r="O134" t="str">
            <v>冷却水システム（消費）</v>
          </cell>
        </row>
        <row r="135">
          <cell r="L135">
            <v>13330</v>
          </cell>
          <cell r="M135" t="str">
            <v>メニューにない対策（設備導入）</v>
          </cell>
          <cell r="N135" t="str">
            <v>設備導入</v>
          </cell>
          <cell r="O135" t="str">
            <v>冷却水システム（消費）</v>
          </cell>
        </row>
        <row r="136">
          <cell r="L136" t="str">
            <v>13340_hv</v>
          </cell>
          <cell r="M136" t="str">
            <v>メニューにない対策（燃料低炭素化）</v>
          </cell>
          <cell r="N136" t="str">
            <v>燃料低炭素化</v>
          </cell>
          <cell r="O136" t="str">
            <v>冷却水システム（消費）</v>
          </cell>
        </row>
        <row r="137">
          <cell r="L137" t="str">
            <v>13350_gk</v>
          </cell>
          <cell r="M137" t="str">
            <v>メニューにない対策（電化）</v>
          </cell>
          <cell r="N137" t="str">
            <v>電化</v>
          </cell>
          <cell r="O137" t="str">
            <v>冷却水システム（消費）</v>
          </cell>
        </row>
        <row r="138">
          <cell r="L138" t="str">
            <v>13360_av</v>
          </cell>
          <cell r="M138" t="str">
            <v>メニューにない対策（電力低炭素化）</v>
          </cell>
          <cell r="N138" t="str">
            <v>電力低炭素化</v>
          </cell>
          <cell r="O138" t="str">
            <v>冷却水システム（消費）</v>
          </cell>
        </row>
        <row r="139">
          <cell r="L139">
            <v>14111</v>
          </cell>
          <cell r="M139" t="str">
            <v>コンプレッサーの吐出圧の低減</v>
          </cell>
          <cell r="N139" t="str">
            <v>運用改善</v>
          </cell>
          <cell r="O139" t="str">
            <v>圧空システム（発生）</v>
          </cell>
        </row>
        <row r="140">
          <cell r="L140">
            <v>14112</v>
          </cell>
          <cell r="M140" t="str">
            <v>コンプレッサーの運転時間短縮、不要時停止</v>
          </cell>
          <cell r="N140" t="str">
            <v>運用改善</v>
          </cell>
          <cell r="O140" t="str">
            <v>圧空システム（発生）</v>
          </cell>
        </row>
        <row r="141">
          <cell r="L141">
            <v>14113</v>
          </cell>
          <cell r="M141" t="str">
            <v>コンプレッサーの台数制御装置のパラメータ設定変更</v>
          </cell>
          <cell r="N141" t="str">
            <v>運用改善</v>
          </cell>
          <cell r="O141" t="str">
            <v>圧空システム（発生）</v>
          </cell>
        </row>
        <row r="142">
          <cell r="L142">
            <v>14114</v>
          </cell>
          <cell r="M142" t="str">
            <v>コンプレッサーのフィルター等の清掃</v>
          </cell>
          <cell r="N142" t="str">
            <v>運用改善</v>
          </cell>
          <cell r="O142" t="str">
            <v>圧空システム（発生）</v>
          </cell>
        </row>
        <row r="143">
          <cell r="L143">
            <v>14110</v>
          </cell>
          <cell r="M143" t="str">
            <v>メニューにない対策（運用改善）</v>
          </cell>
          <cell r="N143" t="str">
            <v>運用改善</v>
          </cell>
          <cell r="O143" t="str">
            <v>圧空システム（発生）</v>
          </cell>
        </row>
        <row r="144">
          <cell r="L144">
            <v>14121</v>
          </cell>
          <cell r="M144" t="str">
            <v>コンプレッサーの吸気温度の低温化</v>
          </cell>
          <cell r="N144" t="str">
            <v>部分更新・機能付加</v>
          </cell>
          <cell r="O144" t="str">
            <v>圧空システム（発生）</v>
          </cell>
        </row>
        <row r="145">
          <cell r="L145">
            <v>14122</v>
          </cell>
          <cell r="M145" t="str">
            <v>コンプレッサー排熱の有効利用</v>
          </cell>
          <cell r="N145" t="str">
            <v>部分更新・機能付加</v>
          </cell>
          <cell r="O145" t="str">
            <v>圧空システム（発生）</v>
          </cell>
        </row>
        <row r="146">
          <cell r="L146">
            <v>14123</v>
          </cell>
          <cell r="M146" t="str">
            <v>コンプレッサーの台数制御システムの導入</v>
          </cell>
          <cell r="N146" t="str">
            <v>部分更新・機能付加</v>
          </cell>
          <cell r="O146" t="str">
            <v>圧空システム（発生）</v>
          </cell>
        </row>
        <row r="147">
          <cell r="L147">
            <v>14120</v>
          </cell>
          <cell r="M147" t="str">
            <v>メニューにない対策（部分更新・機能付加）</v>
          </cell>
          <cell r="N147" t="str">
            <v>部分更新・機能付加</v>
          </cell>
          <cell r="O147" t="str">
            <v>圧空システム（発生）</v>
          </cell>
        </row>
        <row r="148">
          <cell r="L148">
            <v>14131</v>
          </cell>
          <cell r="M148" t="str">
            <v>適正容量の高効率コンプレッサー（インバータ等）の導入</v>
          </cell>
          <cell r="N148" t="str">
            <v>設備導入</v>
          </cell>
          <cell r="O148" t="str">
            <v>圧空システム（発生）</v>
          </cell>
        </row>
        <row r="149">
          <cell r="L149">
            <v>14132</v>
          </cell>
          <cell r="M149" t="str">
            <v>コンプレッサーからブロワーへの更新</v>
          </cell>
          <cell r="N149" t="str">
            <v>設備導入</v>
          </cell>
          <cell r="O149" t="str">
            <v>圧空システム（発生）</v>
          </cell>
        </row>
        <row r="150">
          <cell r="L150">
            <v>14133</v>
          </cell>
          <cell r="M150" t="str">
            <v>熱回収式コンプレッサーの導入</v>
          </cell>
          <cell r="N150" t="str">
            <v>設備導入</v>
          </cell>
          <cell r="O150" t="str">
            <v>圧空システム（発生）</v>
          </cell>
        </row>
        <row r="151">
          <cell r="L151">
            <v>14130</v>
          </cell>
          <cell r="M151" t="str">
            <v>メニューにない対策（設備導入）</v>
          </cell>
          <cell r="N151" t="str">
            <v>設備導入</v>
          </cell>
          <cell r="O151" t="str">
            <v>圧空システム（発生）</v>
          </cell>
        </row>
        <row r="152">
          <cell r="L152" t="str">
            <v>14140_xg</v>
          </cell>
          <cell r="M152" t="str">
            <v>メニューにない対策（燃料低炭素化）</v>
          </cell>
          <cell r="N152" t="str">
            <v>燃料低炭素化</v>
          </cell>
          <cell r="O152" t="str">
            <v>圧空システム（発生）</v>
          </cell>
        </row>
        <row r="153">
          <cell r="L153" t="str">
            <v>14150_ex</v>
          </cell>
          <cell r="M153" t="str">
            <v>メニューにない対策（電化）</v>
          </cell>
          <cell r="N153" t="str">
            <v>電化</v>
          </cell>
          <cell r="O153" t="str">
            <v>圧空システム（発生）</v>
          </cell>
        </row>
        <row r="154">
          <cell r="L154" t="str">
            <v>14160_xv</v>
          </cell>
          <cell r="M154" t="str">
            <v>メニューにない対策（電力低炭素化）</v>
          </cell>
          <cell r="N154" t="str">
            <v>電力低炭素化</v>
          </cell>
          <cell r="O154" t="str">
            <v>圧空システム（発生）</v>
          </cell>
        </row>
        <row r="155">
          <cell r="L155">
            <v>14211</v>
          </cell>
          <cell r="M155" t="str">
            <v>配管の空気漏れ対策</v>
          </cell>
          <cell r="N155" t="str">
            <v>運用改善</v>
          </cell>
          <cell r="O155" t="str">
            <v>圧空システム（移送）</v>
          </cell>
        </row>
        <row r="156">
          <cell r="L156">
            <v>14210</v>
          </cell>
          <cell r="M156" t="str">
            <v>メニューにない対策（運用改善）</v>
          </cell>
          <cell r="N156" t="str">
            <v>運用改善</v>
          </cell>
          <cell r="O156" t="str">
            <v>圧空システム（移送）</v>
          </cell>
        </row>
        <row r="157">
          <cell r="L157">
            <v>14221</v>
          </cell>
          <cell r="M157" t="str">
            <v>配管ルートのループ化</v>
          </cell>
          <cell r="N157" t="str">
            <v>部分更新・機能付加</v>
          </cell>
          <cell r="O157" t="str">
            <v>圧空システム（移送）</v>
          </cell>
        </row>
        <row r="158">
          <cell r="L158">
            <v>14222</v>
          </cell>
          <cell r="M158" t="str">
            <v>レシーバータンクの設置</v>
          </cell>
          <cell r="N158" t="str">
            <v>部分更新・機能付加</v>
          </cell>
          <cell r="O158" t="str">
            <v>圧空システム（移送）</v>
          </cell>
        </row>
        <row r="159">
          <cell r="L159">
            <v>14220</v>
          </cell>
          <cell r="M159" t="str">
            <v>メニューにない対策（部分更新・機能付加）</v>
          </cell>
          <cell r="N159" t="str">
            <v>部分更新・機能付加</v>
          </cell>
          <cell r="O159" t="str">
            <v>圧空システム（移送）</v>
          </cell>
        </row>
        <row r="160">
          <cell r="L160">
            <v>14230</v>
          </cell>
          <cell r="M160" t="str">
            <v>メニューにない対策（設備導入）</v>
          </cell>
          <cell r="N160" t="str">
            <v>設備導入</v>
          </cell>
          <cell r="O160" t="str">
            <v>圧空システム（移送）</v>
          </cell>
        </row>
        <row r="161">
          <cell r="L161" t="str">
            <v>14240_av</v>
          </cell>
          <cell r="M161" t="str">
            <v>メニューにない対策（燃料低炭素化）</v>
          </cell>
          <cell r="N161" t="str">
            <v>燃料低炭素化</v>
          </cell>
          <cell r="O161" t="str">
            <v>圧空システム（移送）</v>
          </cell>
        </row>
        <row r="162">
          <cell r="L162" t="str">
            <v>14250_rn</v>
          </cell>
          <cell r="M162" t="str">
            <v>メニューにない対策（電化）</v>
          </cell>
          <cell r="N162" t="str">
            <v>電化</v>
          </cell>
          <cell r="O162" t="str">
            <v>圧空システム（移送）</v>
          </cell>
        </row>
        <row r="163">
          <cell r="L163" t="str">
            <v>14260_eg</v>
          </cell>
          <cell r="M163" t="str">
            <v>メニューにない対策（電力低炭素化）</v>
          </cell>
          <cell r="N163" t="str">
            <v>電力低炭素化</v>
          </cell>
          <cell r="O163" t="str">
            <v>圧空システム（移送）</v>
          </cell>
        </row>
        <row r="164">
          <cell r="L164">
            <v>14310</v>
          </cell>
          <cell r="M164" t="str">
            <v>メニューにない対策（運用改善）</v>
          </cell>
          <cell r="N164" t="str">
            <v>運用改善</v>
          </cell>
          <cell r="O164" t="str">
            <v>圧空システム（消費）</v>
          </cell>
        </row>
        <row r="165">
          <cell r="L165">
            <v>14321</v>
          </cell>
          <cell r="M165" t="str">
            <v>エアーブローのパルス化やノズルサイズ変更</v>
          </cell>
          <cell r="N165" t="str">
            <v>部分更新・機能付加</v>
          </cell>
          <cell r="O165" t="str">
            <v>圧空システム（消費）</v>
          </cell>
        </row>
        <row r="166">
          <cell r="L166">
            <v>14320</v>
          </cell>
          <cell r="M166" t="str">
            <v>メニューにない対策（部分更新・機能付加）</v>
          </cell>
          <cell r="N166" t="str">
            <v>部分更新・機能付加</v>
          </cell>
          <cell r="O166" t="str">
            <v>圧空システム（消費）</v>
          </cell>
        </row>
        <row r="167">
          <cell r="L167">
            <v>14330</v>
          </cell>
          <cell r="M167" t="str">
            <v>メニューにない対策（設備導入）</v>
          </cell>
          <cell r="N167" t="str">
            <v>設備導入</v>
          </cell>
          <cell r="O167" t="str">
            <v>圧空システム（消費）</v>
          </cell>
        </row>
        <row r="168">
          <cell r="L168" t="str">
            <v>14340_aw</v>
          </cell>
          <cell r="M168" t="str">
            <v>メニューにない対策（燃料低炭素化）</v>
          </cell>
          <cell r="N168" t="str">
            <v>燃料低炭素化</v>
          </cell>
          <cell r="O168" t="str">
            <v>圧空システム（消費）</v>
          </cell>
        </row>
        <row r="169">
          <cell r="L169" t="str">
            <v>14350_iy</v>
          </cell>
          <cell r="M169" t="str">
            <v>メニューにない対策（電化）</v>
          </cell>
          <cell r="N169" t="str">
            <v>電化</v>
          </cell>
          <cell r="O169" t="str">
            <v>圧空システム（消費）</v>
          </cell>
        </row>
        <row r="170">
          <cell r="L170" t="str">
            <v>14360_by</v>
          </cell>
          <cell r="M170" t="str">
            <v>メニューにない対策（電力低炭素化）</v>
          </cell>
          <cell r="N170" t="str">
            <v>電力低炭素化</v>
          </cell>
          <cell r="O170" t="str">
            <v>圧空システム（消費）</v>
          </cell>
        </row>
        <row r="171">
          <cell r="L171">
            <v>21011</v>
          </cell>
          <cell r="M171" t="str">
            <v>不要箇所・不要時間帯の消灯</v>
          </cell>
          <cell r="N171" t="str">
            <v>運用改善</v>
          </cell>
          <cell r="O171" t="str">
            <v>照明設備</v>
          </cell>
        </row>
        <row r="172">
          <cell r="L172">
            <v>21012</v>
          </cell>
          <cell r="M172" t="str">
            <v>照明器具の清掃</v>
          </cell>
          <cell r="N172" t="str">
            <v>運用改善</v>
          </cell>
          <cell r="O172" t="str">
            <v>照明設備</v>
          </cell>
        </row>
        <row r="173">
          <cell r="L173">
            <v>21010</v>
          </cell>
          <cell r="M173" t="str">
            <v>メニューにない対策（運用改善）</v>
          </cell>
          <cell r="N173" t="str">
            <v>運用改善</v>
          </cell>
          <cell r="O173" t="str">
            <v>照明設備</v>
          </cell>
        </row>
        <row r="174">
          <cell r="L174">
            <v>21021</v>
          </cell>
          <cell r="M174" t="str">
            <v>照明スイッチの細分化（配線回路の分割）</v>
          </cell>
          <cell r="N174" t="str">
            <v>部分更新・機能付加</v>
          </cell>
          <cell r="O174" t="str">
            <v>照明設備</v>
          </cell>
        </row>
        <row r="175">
          <cell r="L175">
            <v>21022</v>
          </cell>
          <cell r="M175" t="str">
            <v>照明制御機能（タイマー、センサー等）の追加</v>
          </cell>
          <cell r="N175" t="str">
            <v>部分更新・機能付加</v>
          </cell>
          <cell r="O175" t="str">
            <v>照明設備</v>
          </cell>
        </row>
        <row r="176">
          <cell r="L176">
            <v>21023</v>
          </cell>
          <cell r="M176" t="str">
            <v>タスクアンビエント方式の導入</v>
          </cell>
          <cell r="N176" t="str">
            <v>部分更新・機能付加</v>
          </cell>
          <cell r="O176" t="str">
            <v>照明設備</v>
          </cell>
        </row>
        <row r="177">
          <cell r="L177">
            <v>21020</v>
          </cell>
          <cell r="M177" t="str">
            <v>メニューにない対策（部分更新・機能付加）</v>
          </cell>
          <cell r="N177" t="str">
            <v>部分更新・機能付加</v>
          </cell>
          <cell r="O177" t="str">
            <v>照明設備</v>
          </cell>
        </row>
        <row r="178">
          <cell r="L178">
            <v>21031</v>
          </cell>
          <cell r="M178" t="str">
            <v>LED照明の導入</v>
          </cell>
          <cell r="N178" t="str">
            <v>設備導入</v>
          </cell>
          <cell r="O178" t="str">
            <v>照明設備</v>
          </cell>
        </row>
        <row r="179">
          <cell r="L179">
            <v>21032</v>
          </cell>
          <cell r="M179" t="str">
            <v>高効率照明（LED以外）の導入</v>
          </cell>
          <cell r="N179" t="str">
            <v>設備導入</v>
          </cell>
          <cell r="O179" t="str">
            <v>照明設備</v>
          </cell>
        </row>
        <row r="180">
          <cell r="L180">
            <v>21033</v>
          </cell>
          <cell r="M180" t="str">
            <v>高効率誘導灯（LED等）の導入</v>
          </cell>
          <cell r="N180" t="str">
            <v>設備導入</v>
          </cell>
          <cell r="O180" t="str">
            <v>照明設備</v>
          </cell>
        </row>
        <row r="181">
          <cell r="L181">
            <v>21030</v>
          </cell>
          <cell r="M181" t="str">
            <v>メニューにない対策（設備導入）</v>
          </cell>
          <cell r="N181" t="str">
            <v>設備導入</v>
          </cell>
          <cell r="O181" t="str">
            <v>照明設備</v>
          </cell>
        </row>
        <row r="182">
          <cell r="L182" t="str">
            <v>21040_bp</v>
          </cell>
          <cell r="M182" t="str">
            <v>メニューにない対策（燃料低炭素化）</v>
          </cell>
          <cell r="N182" t="str">
            <v>燃料低炭素化</v>
          </cell>
          <cell r="O182" t="str">
            <v>照明設備</v>
          </cell>
        </row>
        <row r="183">
          <cell r="L183" t="str">
            <v>21050_jr</v>
          </cell>
          <cell r="M183" t="str">
            <v>メニューにない対策（電化）</v>
          </cell>
          <cell r="N183" t="str">
            <v>電化</v>
          </cell>
          <cell r="O183" t="str">
            <v>照明設備</v>
          </cell>
        </row>
        <row r="184">
          <cell r="L184" t="str">
            <v>21060_ga</v>
          </cell>
          <cell r="M184" t="str">
            <v>メニューにない対策（電力低炭素化）</v>
          </cell>
          <cell r="N184" t="str">
            <v>電力低炭素化</v>
          </cell>
          <cell r="O184" t="str">
            <v>照明設備</v>
          </cell>
        </row>
        <row r="185">
          <cell r="L185">
            <v>22011</v>
          </cell>
          <cell r="M185" t="str">
            <v>変圧器の統合（既存設備利用）</v>
          </cell>
          <cell r="N185" t="str">
            <v>運用改善</v>
          </cell>
          <cell r="O185" t="str">
            <v>受変電・配電設備</v>
          </cell>
        </row>
        <row r="186">
          <cell r="L186">
            <v>22012</v>
          </cell>
          <cell r="M186" t="str">
            <v>受変電室の換気ファン動作設定温度の見直し</v>
          </cell>
          <cell r="N186" t="str">
            <v>運用改善</v>
          </cell>
          <cell r="O186" t="str">
            <v>受変電・配電設備</v>
          </cell>
        </row>
        <row r="187">
          <cell r="L187">
            <v>22010</v>
          </cell>
          <cell r="M187" t="str">
            <v>メニューにない対策（運用改善）</v>
          </cell>
          <cell r="N187" t="str">
            <v>運用改善</v>
          </cell>
          <cell r="O187" t="str">
            <v>受変電・配電設備</v>
          </cell>
        </row>
        <row r="188">
          <cell r="L188">
            <v>22021</v>
          </cell>
          <cell r="M188" t="str">
            <v>変圧器の無負荷時遮断</v>
          </cell>
          <cell r="N188" t="str">
            <v>部分更新・機能付加</v>
          </cell>
          <cell r="O188" t="str">
            <v>受変電・配電設備</v>
          </cell>
        </row>
        <row r="189">
          <cell r="L189">
            <v>22022</v>
          </cell>
          <cell r="M189" t="str">
            <v>力率改善制御（自動力率調整装置）の導入</v>
          </cell>
          <cell r="N189" t="str">
            <v>部分更新・機能付加</v>
          </cell>
          <cell r="O189" t="str">
            <v>受変電・配電設備</v>
          </cell>
        </row>
        <row r="190">
          <cell r="L190">
            <v>22023</v>
          </cell>
          <cell r="M190" t="str">
            <v>デマンド制御の導入</v>
          </cell>
          <cell r="N190" t="str">
            <v>部分更新・機能付加</v>
          </cell>
          <cell r="O190" t="str">
            <v>受変電・配電設備</v>
          </cell>
        </row>
        <row r="191">
          <cell r="L191">
            <v>22024</v>
          </cell>
          <cell r="M191" t="str">
            <v>負荷平準化用蓄電池の導入</v>
          </cell>
          <cell r="N191" t="str">
            <v>部分更新・機能付加</v>
          </cell>
          <cell r="O191" t="str">
            <v>受変電・配電設備</v>
          </cell>
        </row>
        <row r="192">
          <cell r="L192">
            <v>22020</v>
          </cell>
          <cell r="M192" t="str">
            <v>メニューにない対策（部分更新・機能付加）</v>
          </cell>
          <cell r="N192" t="str">
            <v>部分更新・機能付加</v>
          </cell>
          <cell r="O192" t="str">
            <v>受変電・配電設備</v>
          </cell>
        </row>
        <row r="193">
          <cell r="L193">
            <v>22031</v>
          </cell>
          <cell r="M193" t="str">
            <v>高効率変圧器の導入</v>
          </cell>
          <cell r="N193" t="str">
            <v>設備導入</v>
          </cell>
          <cell r="O193" t="str">
            <v>受変電・配電設備</v>
          </cell>
        </row>
        <row r="194">
          <cell r="L194">
            <v>22032</v>
          </cell>
          <cell r="M194" t="str">
            <v>変圧器の統合（設備導入）</v>
          </cell>
          <cell r="N194" t="str">
            <v>設備導入</v>
          </cell>
          <cell r="O194" t="str">
            <v>受変電・配電設備</v>
          </cell>
        </row>
        <row r="195">
          <cell r="L195">
            <v>22033</v>
          </cell>
          <cell r="M195" t="str">
            <v>エネルギー損失の少ないコンデンサへの更新</v>
          </cell>
          <cell r="N195" t="str">
            <v>設備導入</v>
          </cell>
          <cell r="O195" t="str">
            <v>受変電・配電設備</v>
          </cell>
        </row>
        <row r="196">
          <cell r="L196">
            <v>22030</v>
          </cell>
          <cell r="M196" t="str">
            <v>メニューにない対策（設備導入）</v>
          </cell>
          <cell r="N196" t="str">
            <v>設備導入</v>
          </cell>
          <cell r="O196" t="str">
            <v>受変電・配電設備</v>
          </cell>
        </row>
        <row r="197">
          <cell r="L197" t="str">
            <v>22040_pc</v>
          </cell>
          <cell r="M197" t="str">
            <v>メニューにない対策（燃料低炭素化）</v>
          </cell>
          <cell r="N197" t="str">
            <v>燃料低炭素化</v>
          </cell>
          <cell r="O197" t="str">
            <v>受変電・配電設備</v>
          </cell>
        </row>
        <row r="198">
          <cell r="L198" t="str">
            <v>22050_cd</v>
          </cell>
          <cell r="M198" t="str">
            <v>メニューにない対策（電化）</v>
          </cell>
          <cell r="N198" t="str">
            <v>電化</v>
          </cell>
          <cell r="O198" t="str">
            <v>受変電・配電設備</v>
          </cell>
        </row>
        <row r="199">
          <cell r="L199" t="str">
            <v>22060_jy</v>
          </cell>
          <cell r="M199" t="str">
            <v>メニューにない対策（電力低炭素化）</v>
          </cell>
          <cell r="N199" t="str">
            <v>電力低炭素化</v>
          </cell>
          <cell r="O199" t="str">
            <v>受変電・配電設備</v>
          </cell>
        </row>
        <row r="200">
          <cell r="L200">
            <v>23011</v>
          </cell>
          <cell r="M200" t="str">
            <v>OA機器の待機電力削減</v>
          </cell>
          <cell r="N200" t="str">
            <v>運用改善</v>
          </cell>
          <cell r="O200" t="str">
            <v>OA機器</v>
          </cell>
        </row>
        <row r="201">
          <cell r="L201">
            <v>23012</v>
          </cell>
          <cell r="M201" t="str">
            <v>パソコンモニターの輝度調整</v>
          </cell>
          <cell r="N201" t="str">
            <v>運用改善</v>
          </cell>
          <cell r="O201" t="str">
            <v>OA機器</v>
          </cell>
        </row>
        <row r="202">
          <cell r="L202">
            <v>23010</v>
          </cell>
          <cell r="M202" t="str">
            <v>メニューにない対策（運用改善）</v>
          </cell>
          <cell r="N202" t="str">
            <v>運用改善</v>
          </cell>
          <cell r="O202" t="str">
            <v>OA機器</v>
          </cell>
        </row>
        <row r="203">
          <cell r="L203">
            <v>23020</v>
          </cell>
          <cell r="M203" t="str">
            <v>メニューにない対策（部分更新・機能付加）</v>
          </cell>
          <cell r="N203" t="str">
            <v>部分更新・機能付加</v>
          </cell>
          <cell r="O203" t="str">
            <v>OA機器</v>
          </cell>
        </row>
        <row r="204">
          <cell r="L204">
            <v>23031</v>
          </cell>
          <cell r="M204" t="str">
            <v>高効率OA機器の導入</v>
          </cell>
          <cell r="N204" t="str">
            <v>設備導入</v>
          </cell>
          <cell r="O204" t="str">
            <v>OA機器</v>
          </cell>
        </row>
        <row r="205">
          <cell r="L205">
            <v>23030</v>
          </cell>
          <cell r="M205" t="str">
            <v>メニューにない対策（設備導入）</v>
          </cell>
          <cell r="N205" t="str">
            <v>設備導入</v>
          </cell>
          <cell r="O205" t="str">
            <v>OA機器</v>
          </cell>
        </row>
        <row r="206">
          <cell r="L206" t="str">
            <v>23040_mj</v>
          </cell>
          <cell r="M206" t="str">
            <v>メニューにない対策（燃料低炭素化）</v>
          </cell>
          <cell r="N206" t="str">
            <v>燃料低炭素化</v>
          </cell>
          <cell r="O206" t="str">
            <v>OA機器</v>
          </cell>
        </row>
        <row r="207">
          <cell r="L207" t="str">
            <v>23050_mx</v>
          </cell>
          <cell r="M207" t="str">
            <v>メニューにない対策（電化）</v>
          </cell>
          <cell r="N207" t="str">
            <v>電化</v>
          </cell>
          <cell r="O207" t="str">
            <v>OA機器</v>
          </cell>
        </row>
        <row r="208">
          <cell r="L208" t="str">
            <v>23060_wn</v>
          </cell>
          <cell r="M208" t="str">
            <v>メニューにない対策（電力低炭素化）</v>
          </cell>
          <cell r="N208" t="str">
            <v>電力低炭素化</v>
          </cell>
          <cell r="O208" t="str">
            <v>OA機器</v>
          </cell>
        </row>
        <row r="209">
          <cell r="L209">
            <v>24011</v>
          </cell>
          <cell r="M209" t="str">
            <v>ポンプ・ファン・ブロワーの不要時停止</v>
          </cell>
          <cell r="N209" t="str">
            <v>運用改善</v>
          </cell>
          <cell r="O209" t="str">
            <v>電動機・ポンプ・ファン</v>
          </cell>
        </row>
        <row r="210">
          <cell r="L210">
            <v>24012</v>
          </cell>
          <cell r="M210" t="str">
            <v>ポンプ・ファン・ブロワーの流体洩れ対策の実施</v>
          </cell>
          <cell r="N210" t="str">
            <v>運用改善</v>
          </cell>
          <cell r="O210" t="str">
            <v>電動機・ポンプ・ファン</v>
          </cell>
        </row>
        <row r="211">
          <cell r="L211">
            <v>24013</v>
          </cell>
          <cell r="M211" t="str">
            <v>インバータ設定値の見直し</v>
          </cell>
          <cell r="N211" t="str">
            <v>運用改善</v>
          </cell>
          <cell r="O211" t="str">
            <v>電動機・ポンプ・ファン</v>
          </cell>
        </row>
        <row r="212">
          <cell r="L212">
            <v>24010</v>
          </cell>
          <cell r="M212" t="str">
            <v>メニューにない対策（運用改善）</v>
          </cell>
          <cell r="N212" t="str">
            <v>運用改善</v>
          </cell>
          <cell r="O212" t="str">
            <v>電動機・ポンプ・ファン</v>
          </cell>
        </row>
        <row r="213">
          <cell r="L213">
            <v>24021</v>
          </cell>
          <cell r="M213" t="str">
            <v>ポンプ・ファン・ブロワーの台数制御機能の追加</v>
          </cell>
          <cell r="N213" t="str">
            <v>部分更新・機能付加</v>
          </cell>
          <cell r="O213" t="str">
            <v>電動機・ポンプ・ファン</v>
          </cell>
        </row>
        <row r="214">
          <cell r="L214">
            <v>24022</v>
          </cell>
          <cell r="M214" t="str">
            <v>ポンプ・ファン等の回転数・流量・圧力調整（インバータ制御等）</v>
          </cell>
          <cell r="N214" t="str">
            <v>部分更新・機能付加</v>
          </cell>
          <cell r="O214" t="str">
            <v>電動機・ポンプ・ファン</v>
          </cell>
        </row>
        <row r="215">
          <cell r="L215">
            <v>24023</v>
          </cell>
          <cell r="M215" t="str">
            <v>省エネファンベルトの導入</v>
          </cell>
          <cell r="N215" t="str">
            <v>部分更新・機能付加</v>
          </cell>
          <cell r="O215" t="str">
            <v>電動機・ポンプ・ファン</v>
          </cell>
        </row>
        <row r="216">
          <cell r="L216">
            <v>24024</v>
          </cell>
          <cell r="M216" t="str">
            <v>ファン吸込みダンパー制御の導入</v>
          </cell>
          <cell r="N216" t="str">
            <v>部分更新・機能付加</v>
          </cell>
          <cell r="O216" t="str">
            <v>電動機・ポンプ・ファン</v>
          </cell>
        </row>
        <row r="217">
          <cell r="L217">
            <v>24025</v>
          </cell>
          <cell r="M217" t="str">
            <v>ファンのプーリーサイズの適正化</v>
          </cell>
          <cell r="N217" t="str">
            <v>部分更新・機能付加</v>
          </cell>
          <cell r="O217" t="str">
            <v>電動機・ポンプ・ファン</v>
          </cell>
        </row>
        <row r="218">
          <cell r="L218">
            <v>24020</v>
          </cell>
          <cell r="M218" t="str">
            <v>メニューにない対策（部分更新・機能付加）</v>
          </cell>
          <cell r="N218" t="str">
            <v>部分更新・機能付加</v>
          </cell>
          <cell r="O218" t="str">
            <v>電動機・ポンプ・ファン</v>
          </cell>
        </row>
        <row r="219">
          <cell r="L219">
            <v>24031</v>
          </cell>
          <cell r="M219" t="str">
            <v>適正容量の高効率ポンプ・ファン・ブロワーの導入</v>
          </cell>
          <cell r="N219" t="str">
            <v>設備導入</v>
          </cell>
          <cell r="O219" t="str">
            <v>電動機・ポンプ・ファン</v>
          </cell>
        </row>
        <row r="220">
          <cell r="L220">
            <v>24032</v>
          </cell>
          <cell r="M220" t="str">
            <v>プレミアム効率モーター（IE3）等の導入</v>
          </cell>
          <cell r="N220" t="str">
            <v>設備導入</v>
          </cell>
          <cell r="O220" t="str">
            <v>電動機・ポンプ・ファン</v>
          </cell>
        </row>
        <row r="221">
          <cell r="L221">
            <v>24030</v>
          </cell>
          <cell r="M221" t="str">
            <v>メニューにない対策（設備導入）</v>
          </cell>
          <cell r="N221" t="str">
            <v>設備導入</v>
          </cell>
          <cell r="O221" t="str">
            <v>電動機・ポンプ・ファン</v>
          </cell>
        </row>
        <row r="222">
          <cell r="L222" t="str">
            <v>24040_ez</v>
          </cell>
          <cell r="M222" t="str">
            <v>メニューにない対策（燃料低炭素化）</v>
          </cell>
          <cell r="N222" t="str">
            <v>燃料低炭素化</v>
          </cell>
          <cell r="O222" t="str">
            <v>電動機・ポンプ・ファン</v>
          </cell>
        </row>
        <row r="223">
          <cell r="L223" t="str">
            <v>24050_bp</v>
          </cell>
          <cell r="M223" t="str">
            <v>メニューにない対策（電化）</v>
          </cell>
          <cell r="N223" t="str">
            <v>電化</v>
          </cell>
          <cell r="O223" t="str">
            <v>電動機・ポンプ・ファン</v>
          </cell>
        </row>
        <row r="224">
          <cell r="L224" t="str">
            <v>24060_ir</v>
          </cell>
          <cell r="M224" t="str">
            <v>メニューにない対策（電力低炭素化）</v>
          </cell>
          <cell r="N224" t="str">
            <v>電力低炭素化</v>
          </cell>
          <cell r="O224" t="str">
            <v>電動機・ポンプ・ファン</v>
          </cell>
        </row>
        <row r="225">
          <cell r="L225">
            <v>25011</v>
          </cell>
          <cell r="M225" t="str">
            <v>バーナーの管理による効率改善</v>
          </cell>
          <cell r="N225" t="str">
            <v>運用改善</v>
          </cell>
          <cell r="O225" t="str">
            <v>工業炉</v>
          </cell>
        </row>
        <row r="226">
          <cell r="L226">
            <v>25012</v>
          </cell>
          <cell r="M226" t="str">
            <v>燃焼炉の空気比改善</v>
          </cell>
          <cell r="N226" t="str">
            <v>運用改善</v>
          </cell>
          <cell r="O226" t="str">
            <v>工業炉</v>
          </cell>
        </row>
        <row r="227">
          <cell r="L227">
            <v>25013</v>
          </cell>
          <cell r="M227" t="str">
            <v>燃焼炉開口部からのリーク防止</v>
          </cell>
          <cell r="N227" t="str">
            <v>運用改善</v>
          </cell>
          <cell r="O227" t="str">
            <v>工業炉</v>
          </cell>
        </row>
        <row r="228">
          <cell r="L228">
            <v>25014</v>
          </cell>
          <cell r="M228" t="str">
            <v>燃焼炉内圧力の適正化</v>
          </cell>
          <cell r="N228" t="str">
            <v>運用改善</v>
          </cell>
          <cell r="O228" t="str">
            <v>工業炉</v>
          </cell>
        </row>
        <row r="229">
          <cell r="L229">
            <v>25015</v>
          </cell>
          <cell r="M229" t="str">
            <v>工業炉の待機時間短縮</v>
          </cell>
          <cell r="N229" t="str">
            <v>運用改善</v>
          </cell>
          <cell r="O229" t="str">
            <v>工業炉</v>
          </cell>
        </row>
        <row r="230">
          <cell r="L230">
            <v>25016</v>
          </cell>
          <cell r="M230" t="str">
            <v>工業炉の作業休止時における付帯設備の停止</v>
          </cell>
          <cell r="N230" t="str">
            <v>運用改善</v>
          </cell>
          <cell r="O230" t="str">
            <v>工業炉</v>
          </cell>
        </row>
        <row r="231">
          <cell r="L231">
            <v>25010</v>
          </cell>
          <cell r="M231" t="str">
            <v>メニューにない対策（運用改善）</v>
          </cell>
          <cell r="N231" t="str">
            <v>運用改善</v>
          </cell>
          <cell r="O231" t="str">
            <v>工業炉</v>
          </cell>
        </row>
        <row r="232">
          <cell r="L232">
            <v>25021</v>
          </cell>
          <cell r="M232" t="str">
            <v>燃焼炉の排ガスの熱回収</v>
          </cell>
          <cell r="N232" t="str">
            <v>部分更新・機能付加</v>
          </cell>
          <cell r="O232" t="str">
            <v>工業炉</v>
          </cell>
        </row>
        <row r="233">
          <cell r="L233">
            <v>25022</v>
          </cell>
          <cell r="M233" t="str">
            <v>工業炉の断熱・保温の強化</v>
          </cell>
          <cell r="N233" t="str">
            <v>部分更新・機能付加</v>
          </cell>
          <cell r="O233" t="str">
            <v>工業炉</v>
          </cell>
        </row>
        <row r="234">
          <cell r="L234">
            <v>25023</v>
          </cell>
          <cell r="M234" t="str">
            <v>リジェネレイティブバーナーへの更新</v>
          </cell>
          <cell r="N234" t="str">
            <v>部分更新・機能付加</v>
          </cell>
          <cell r="O234" t="str">
            <v>工業炉</v>
          </cell>
        </row>
        <row r="235">
          <cell r="L235">
            <v>25020</v>
          </cell>
          <cell r="M235" t="str">
            <v>メニューにない対策（部分更新・機能付加）</v>
          </cell>
          <cell r="N235" t="str">
            <v>部分更新・機能付加</v>
          </cell>
          <cell r="O235" t="str">
            <v>工業炉</v>
          </cell>
        </row>
        <row r="236">
          <cell r="L236">
            <v>25030</v>
          </cell>
          <cell r="M236" t="str">
            <v>メニューにない対策（設備導入）</v>
          </cell>
          <cell r="N236" t="str">
            <v>設備導入</v>
          </cell>
          <cell r="O236" t="str">
            <v>工業炉</v>
          </cell>
        </row>
        <row r="237">
          <cell r="L237">
            <v>25041</v>
          </cell>
          <cell r="M237" t="str">
            <v>工業炉の燃料低炭素化</v>
          </cell>
          <cell r="N237" t="str">
            <v>燃料低炭素化</v>
          </cell>
          <cell r="O237" t="str">
            <v>工業炉</v>
          </cell>
        </row>
        <row r="238">
          <cell r="L238">
            <v>25040</v>
          </cell>
          <cell r="M238" t="str">
            <v>メニューにない対策（燃料低炭素化）</v>
          </cell>
          <cell r="N238" t="str">
            <v>燃料低炭素化</v>
          </cell>
          <cell r="O238" t="str">
            <v>工業炉</v>
          </cell>
        </row>
        <row r="239">
          <cell r="L239">
            <v>25051</v>
          </cell>
          <cell r="M239" t="str">
            <v>燃焼加熱式設備から遠赤外線加熱式設備への更新</v>
          </cell>
          <cell r="N239" t="str">
            <v>電化</v>
          </cell>
          <cell r="O239" t="str">
            <v>工業炉</v>
          </cell>
        </row>
        <row r="240">
          <cell r="L240">
            <v>25050</v>
          </cell>
          <cell r="M240" t="str">
            <v>メニューにない対策（電化）</v>
          </cell>
          <cell r="N240" t="str">
            <v>電化</v>
          </cell>
          <cell r="O240" t="str">
            <v>工業炉</v>
          </cell>
        </row>
        <row r="241">
          <cell r="L241" t="str">
            <v>25060_xi</v>
          </cell>
          <cell r="M241" t="str">
            <v>メニューにない対策（電力低炭素化）</v>
          </cell>
          <cell r="N241" t="str">
            <v>電力低炭素化</v>
          </cell>
          <cell r="O241" t="str">
            <v>工業炉</v>
          </cell>
        </row>
        <row r="242">
          <cell r="L242">
            <v>26011</v>
          </cell>
          <cell r="M242" t="str">
            <v>冷凍・冷蔵設備の設定温度の変更</v>
          </cell>
          <cell r="N242" t="str">
            <v>運用改善</v>
          </cell>
          <cell r="O242" t="str">
            <v>冷凍・冷蔵設備</v>
          </cell>
        </row>
        <row r="243">
          <cell r="L243">
            <v>26012</v>
          </cell>
          <cell r="M243" t="str">
            <v>冷凍設備低負荷時のファンの停止</v>
          </cell>
          <cell r="N243" t="str">
            <v>運用改善</v>
          </cell>
          <cell r="O243" t="str">
            <v>冷凍・冷蔵設備</v>
          </cell>
        </row>
        <row r="244">
          <cell r="L244">
            <v>26013</v>
          </cell>
          <cell r="M244" t="str">
            <v>デフロスト間隔の延長</v>
          </cell>
          <cell r="N244" t="str">
            <v>運用改善</v>
          </cell>
          <cell r="O244" t="str">
            <v>冷凍・冷蔵設備</v>
          </cell>
        </row>
        <row r="245">
          <cell r="L245">
            <v>26014</v>
          </cell>
          <cell r="M245" t="str">
            <v>冷凍・冷蔵設備の冷凍機の負荷低減</v>
          </cell>
          <cell r="N245" t="str">
            <v>運用改善</v>
          </cell>
          <cell r="O245" t="str">
            <v>冷凍・冷蔵設備</v>
          </cell>
        </row>
        <row r="246">
          <cell r="L246">
            <v>26015</v>
          </cell>
          <cell r="M246" t="str">
            <v>冷凍・冷蔵設備の不要時停止</v>
          </cell>
          <cell r="N246" t="str">
            <v>運用改善</v>
          </cell>
          <cell r="O246" t="str">
            <v>冷凍・冷蔵設備</v>
          </cell>
        </row>
        <row r="247">
          <cell r="L247">
            <v>26016</v>
          </cell>
          <cell r="M247" t="str">
            <v>冷凍・冷蔵設備の防露ヒーター通電制御</v>
          </cell>
          <cell r="N247" t="str">
            <v>運用改善</v>
          </cell>
          <cell r="O247" t="str">
            <v>冷凍・冷蔵設備</v>
          </cell>
        </row>
        <row r="248">
          <cell r="L248">
            <v>26017</v>
          </cell>
          <cell r="M248" t="str">
            <v>コンデンシングユニット（室外機）のフィンの清掃・洗浄</v>
          </cell>
          <cell r="N248" t="str">
            <v>運用改善</v>
          </cell>
          <cell r="O248" t="str">
            <v>冷凍・冷蔵設備</v>
          </cell>
        </row>
        <row r="249">
          <cell r="L249">
            <v>26018</v>
          </cell>
          <cell r="M249" t="str">
            <v>冷凍・冷蔵設備の冷却能力の回復</v>
          </cell>
          <cell r="N249" t="str">
            <v>運用改善</v>
          </cell>
          <cell r="O249" t="str">
            <v>冷凍・冷蔵設備</v>
          </cell>
        </row>
        <row r="250">
          <cell r="L250">
            <v>26010</v>
          </cell>
          <cell r="M250" t="str">
            <v>メニューにない対策（運用改善）</v>
          </cell>
          <cell r="N250" t="str">
            <v>運用改善</v>
          </cell>
          <cell r="O250" t="str">
            <v>冷凍・冷蔵設備</v>
          </cell>
        </row>
        <row r="251">
          <cell r="L251">
            <v>26021</v>
          </cell>
          <cell r="M251" t="str">
            <v>ショーケースナイトカバーの設置</v>
          </cell>
          <cell r="N251" t="str">
            <v>部分更新・機能付加</v>
          </cell>
          <cell r="O251" t="str">
            <v>冷凍・冷蔵設備</v>
          </cell>
        </row>
        <row r="252">
          <cell r="L252">
            <v>26022</v>
          </cell>
          <cell r="M252" t="str">
            <v>冷凍・冷蔵設備におけるエアーカーテンの設置</v>
          </cell>
          <cell r="N252" t="str">
            <v>部分更新・機能付加</v>
          </cell>
          <cell r="O252" t="str">
            <v>冷凍・冷蔵設備</v>
          </cell>
        </row>
        <row r="253">
          <cell r="L253">
            <v>26023</v>
          </cell>
          <cell r="M253" t="str">
            <v>冷凍・冷蔵設備の照明のLED化</v>
          </cell>
          <cell r="N253" t="str">
            <v>部分更新・機能付加</v>
          </cell>
          <cell r="O253" t="str">
            <v>冷凍・冷蔵設備</v>
          </cell>
        </row>
        <row r="254">
          <cell r="L254">
            <v>26024</v>
          </cell>
          <cell r="M254" t="str">
            <v>冷凍・冷蔵設備の断熱強化</v>
          </cell>
          <cell r="N254" t="str">
            <v>部分更新・機能付加</v>
          </cell>
          <cell r="O254" t="str">
            <v>冷凍・冷蔵設備</v>
          </cell>
        </row>
        <row r="255">
          <cell r="L255">
            <v>26025</v>
          </cell>
          <cell r="M255" t="str">
            <v>ショーケース用キャノピー照明の設置（棚照明の消灯）</v>
          </cell>
          <cell r="N255" t="str">
            <v>部分更新・機能付加</v>
          </cell>
          <cell r="O255" t="str">
            <v>冷凍・冷蔵設備</v>
          </cell>
        </row>
        <row r="256">
          <cell r="L256">
            <v>26020</v>
          </cell>
          <cell r="M256" t="str">
            <v>メニューにない対策（部分更新・機能付加）</v>
          </cell>
          <cell r="N256" t="str">
            <v>部分更新・機能付加</v>
          </cell>
          <cell r="O256" t="str">
            <v>冷凍・冷蔵設備</v>
          </cell>
        </row>
        <row r="257">
          <cell r="L257">
            <v>26031</v>
          </cell>
          <cell r="M257" t="str">
            <v>高効率冷凍・冷蔵設備の導入</v>
          </cell>
          <cell r="N257" t="str">
            <v>設備導入</v>
          </cell>
          <cell r="O257" t="str">
            <v>冷凍・冷蔵設備</v>
          </cell>
        </row>
        <row r="258">
          <cell r="L258">
            <v>26030</v>
          </cell>
          <cell r="M258" t="str">
            <v>メニューにない対策（設備導入）</v>
          </cell>
          <cell r="N258" t="str">
            <v>設備導入</v>
          </cell>
          <cell r="O258" t="str">
            <v>冷凍・冷蔵設備</v>
          </cell>
        </row>
        <row r="259">
          <cell r="L259" t="str">
            <v>26040_dw</v>
          </cell>
          <cell r="M259" t="str">
            <v>メニューにない対策（燃料低炭素化）</v>
          </cell>
          <cell r="N259" t="str">
            <v>燃料低炭素化</v>
          </cell>
          <cell r="O259" t="str">
            <v>冷凍・冷蔵設備</v>
          </cell>
        </row>
        <row r="260">
          <cell r="L260" t="str">
            <v>26050_ht</v>
          </cell>
          <cell r="M260" t="str">
            <v>メニューにない対策（電化）</v>
          </cell>
          <cell r="N260" t="str">
            <v>電化</v>
          </cell>
          <cell r="O260" t="str">
            <v>冷凍・冷蔵設備</v>
          </cell>
        </row>
        <row r="261">
          <cell r="L261" t="str">
            <v>26060_vj</v>
          </cell>
          <cell r="M261" t="str">
            <v>メニューにない対策（電力低炭素化）</v>
          </cell>
          <cell r="N261" t="str">
            <v>電力低炭素化</v>
          </cell>
          <cell r="O261" t="str">
            <v>冷凍・冷蔵設備</v>
          </cell>
        </row>
        <row r="262">
          <cell r="L262">
            <v>27011</v>
          </cell>
          <cell r="M262" t="str">
            <v>曝気用ブロワーの操業に応じた運転停止</v>
          </cell>
          <cell r="N262" t="str">
            <v>運用改善</v>
          </cell>
          <cell r="O262" t="str">
            <v>排水処理設備</v>
          </cell>
        </row>
        <row r="263">
          <cell r="L263">
            <v>27010</v>
          </cell>
          <cell r="M263" t="str">
            <v>メニューにない対策（運用改善）</v>
          </cell>
          <cell r="N263" t="str">
            <v>運用改善</v>
          </cell>
          <cell r="O263" t="str">
            <v>排水処理設備</v>
          </cell>
        </row>
        <row r="264">
          <cell r="L264" t="str">
            <v>-</v>
          </cell>
          <cell r="M264" t="str">
            <v>曝気用ルーツブロワのインバータ制御の導入</v>
          </cell>
          <cell r="N264" t="str">
            <v>部分更新・機能付加</v>
          </cell>
          <cell r="O264" t="str">
            <v>排水処理設備</v>
          </cell>
        </row>
        <row r="265">
          <cell r="L265">
            <v>27020</v>
          </cell>
          <cell r="M265" t="str">
            <v>メニューにない対策（部分更新・機能付加）</v>
          </cell>
          <cell r="N265" t="str">
            <v>部分更新・機能付加</v>
          </cell>
          <cell r="O265" t="str">
            <v>排水処理設備</v>
          </cell>
        </row>
        <row r="266">
          <cell r="L266">
            <v>27030</v>
          </cell>
          <cell r="M266" t="str">
            <v>メニューにない対策（設備導入）</v>
          </cell>
          <cell r="N266" t="str">
            <v>設備導入</v>
          </cell>
          <cell r="O266" t="str">
            <v>排水処理設備</v>
          </cell>
        </row>
        <row r="267">
          <cell r="L267" t="str">
            <v>27040_hx</v>
          </cell>
          <cell r="M267" t="str">
            <v>メニューにない対策（燃料低炭素化）</v>
          </cell>
          <cell r="N267" t="str">
            <v>燃料低炭素化</v>
          </cell>
          <cell r="O267" t="str">
            <v>排水処理設備</v>
          </cell>
        </row>
        <row r="268">
          <cell r="L268" t="str">
            <v>27050_bz</v>
          </cell>
          <cell r="M268" t="str">
            <v>メニューにない対策（電化）</v>
          </cell>
          <cell r="N268" t="str">
            <v>電化</v>
          </cell>
          <cell r="O268" t="str">
            <v>排水処理設備</v>
          </cell>
        </row>
        <row r="269">
          <cell r="L269" t="str">
            <v>27060_cx</v>
          </cell>
          <cell r="M269" t="str">
            <v>メニューにない対策（電力低炭素化）</v>
          </cell>
          <cell r="N269" t="str">
            <v>電力低炭素化</v>
          </cell>
          <cell r="O269" t="str">
            <v>排水処理設備</v>
          </cell>
        </row>
        <row r="270">
          <cell r="L270">
            <v>28011</v>
          </cell>
          <cell r="M270" t="str">
            <v>閑散期の昇降機・エスカレーター等の一部停止</v>
          </cell>
          <cell r="N270" t="str">
            <v>運用改善</v>
          </cell>
          <cell r="O270" t="str">
            <v>昇降設備</v>
          </cell>
        </row>
        <row r="271">
          <cell r="L271">
            <v>28010</v>
          </cell>
          <cell r="M271" t="str">
            <v>メニューにない対策（運用改善）</v>
          </cell>
          <cell r="N271" t="str">
            <v>運用改善</v>
          </cell>
          <cell r="O271" t="str">
            <v>昇降設備</v>
          </cell>
        </row>
        <row r="272">
          <cell r="L272">
            <v>28021</v>
          </cell>
          <cell r="M272" t="str">
            <v>昇降機へのインバータ制御の導入</v>
          </cell>
          <cell r="N272" t="str">
            <v>部分更新・機能付加</v>
          </cell>
          <cell r="O272" t="str">
            <v>昇降設備</v>
          </cell>
        </row>
        <row r="273">
          <cell r="L273">
            <v>28022</v>
          </cell>
          <cell r="M273" t="str">
            <v>エスカレーターへの人感センサー導入</v>
          </cell>
          <cell r="N273" t="str">
            <v>部分更新・機能付加</v>
          </cell>
          <cell r="O273" t="str">
            <v>昇降設備</v>
          </cell>
        </row>
        <row r="274">
          <cell r="L274">
            <v>28020</v>
          </cell>
          <cell r="M274" t="str">
            <v>メニューにない対策（部分更新・機能付加）</v>
          </cell>
          <cell r="N274" t="str">
            <v>部分更新・機能付加</v>
          </cell>
          <cell r="O274" t="str">
            <v>昇降設備</v>
          </cell>
        </row>
        <row r="275">
          <cell r="L275">
            <v>28030</v>
          </cell>
          <cell r="M275" t="str">
            <v>メニューにない対策（設備導入）</v>
          </cell>
          <cell r="N275" t="str">
            <v>設備導入</v>
          </cell>
          <cell r="O275" t="str">
            <v>昇降設備</v>
          </cell>
        </row>
        <row r="276">
          <cell r="L276" t="str">
            <v>28040_vq</v>
          </cell>
          <cell r="M276" t="str">
            <v>メニューにない対策（燃料低炭素化）</v>
          </cell>
          <cell r="N276" t="str">
            <v>燃料低炭素化</v>
          </cell>
          <cell r="O276" t="str">
            <v>昇降設備</v>
          </cell>
        </row>
        <row r="277">
          <cell r="L277" t="str">
            <v>28050_yp</v>
          </cell>
          <cell r="M277" t="str">
            <v>メニューにない対策（電化）</v>
          </cell>
          <cell r="N277" t="str">
            <v>電化</v>
          </cell>
          <cell r="O277" t="str">
            <v>昇降設備</v>
          </cell>
        </row>
        <row r="278">
          <cell r="L278" t="str">
            <v>28060_ya</v>
          </cell>
          <cell r="M278" t="str">
            <v>メニューにない対策（電力低炭素化）</v>
          </cell>
          <cell r="N278" t="str">
            <v>電力低炭素化</v>
          </cell>
          <cell r="O278" t="str">
            <v>昇降設備</v>
          </cell>
        </row>
        <row r="279">
          <cell r="L279">
            <v>29011</v>
          </cell>
          <cell r="M279" t="str">
            <v>給湯温度・循環水量の調整</v>
          </cell>
          <cell r="N279" t="str">
            <v>運用改善</v>
          </cell>
          <cell r="O279" t="str">
            <v>給湯・温水利用設備</v>
          </cell>
        </row>
        <row r="280">
          <cell r="L280">
            <v>29012</v>
          </cell>
          <cell r="M280" t="str">
            <v>給湯利用期間の短縮</v>
          </cell>
          <cell r="N280" t="str">
            <v>運用改善</v>
          </cell>
          <cell r="O280" t="str">
            <v>給湯・温水利用設備</v>
          </cell>
        </row>
        <row r="281">
          <cell r="L281">
            <v>29013</v>
          </cell>
          <cell r="M281" t="str">
            <v>温水ボイラーの燃焼空気比改善</v>
          </cell>
          <cell r="N281" t="str">
            <v>運用改善</v>
          </cell>
          <cell r="O281" t="str">
            <v>給湯・温水利用設備</v>
          </cell>
        </row>
        <row r="282">
          <cell r="L282">
            <v>29010</v>
          </cell>
          <cell r="M282" t="str">
            <v>メニューにない対策（運用改善）</v>
          </cell>
          <cell r="N282" t="str">
            <v>運用改善</v>
          </cell>
          <cell r="O282" t="str">
            <v>給湯・温水利用設備</v>
          </cell>
        </row>
        <row r="283">
          <cell r="L283">
            <v>29021</v>
          </cell>
          <cell r="M283" t="str">
            <v>給湯配管類の断熱強化・保温</v>
          </cell>
          <cell r="N283" t="str">
            <v>部分更新・機能付加</v>
          </cell>
          <cell r="O283" t="str">
            <v>給湯・温水利用設備</v>
          </cell>
        </row>
        <row r="284">
          <cell r="L284">
            <v>29022</v>
          </cell>
          <cell r="M284" t="str">
            <v>浴槽保温カバー導入による放熱防止</v>
          </cell>
          <cell r="N284" t="str">
            <v>部分更新・機能付加</v>
          </cell>
          <cell r="O284" t="str">
            <v>給湯・温水利用設備</v>
          </cell>
        </row>
        <row r="285">
          <cell r="L285">
            <v>29020</v>
          </cell>
          <cell r="M285" t="str">
            <v>メニューにない対策（部分更新・機能付加）</v>
          </cell>
          <cell r="N285" t="str">
            <v>部分更新・機能付加</v>
          </cell>
          <cell r="O285" t="str">
            <v>給湯・温水利用設備</v>
          </cell>
        </row>
        <row r="286">
          <cell r="L286">
            <v>29031</v>
          </cell>
          <cell r="M286" t="str">
            <v>高効率給湯器・温水ボイラー（ガス式・灯油式等）の導入</v>
          </cell>
          <cell r="N286" t="str">
            <v>設備導入</v>
          </cell>
          <cell r="O286" t="str">
            <v>給湯・温水利用設備</v>
          </cell>
        </row>
        <row r="287">
          <cell r="L287">
            <v>29032</v>
          </cell>
          <cell r="M287" t="str">
            <v>真空蒸気による加熱システムの導入</v>
          </cell>
          <cell r="N287" t="str">
            <v>設備導入</v>
          </cell>
          <cell r="O287" t="str">
            <v>給湯・温水利用設備</v>
          </cell>
        </row>
        <row r="288">
          <cell r="L288">
            <v>29030</v>
          </cell>
          <cell r="M288" t="str">
            <v>メニューにない対策（設備導入）</v>
          </cell>
          <cell r="N288" t="str">
            <v>設備導入</v>
          </cell>
          <cell r="O288" t="str">
            <v>給湯・温水利用設備</v>
          </cell>
        </row>
        <row r="289">
          <cell r="L289" t="str">
            <v>-</v>
          </cell>
          <cell r="M289" t="str">
            <v>高効率ヒートポンプ給湯機の導入</v>
          </cell>
          <cell r="N289" t="str">
            <v>燃料低炭素化</v>
          </cell>
          <cell r="O289" t="str">
            <v>給湯・温水利用設備</v>
          </cell>
        </row>
        <row r="290">
          <cell r="L290">
            <v>29042</v>
          </cell>
          <cell r="M290" t="str">
            <v>太陽熱利用設備の導入</v>
          </cell>
          <cell r="N290" t="str">
            <v>燃料低炭素化</v>
          </cell>
          <cell r="O290" t="str">
            <v>給湯・温水利用設備</v>
          </cell>
        </row>
        <row r="291">
          <cell r="L291">
            <v>29043</v>
          </cell>
          <cell r="M291" t="str">
            <v>温水ボイラーの燃料低炭素化（バイオマスを除く）</v>
          </cell>
          <cell r="N291" t="str">
            <v>燃料低炭素化</v>
          </cell>
          <cell r="O291" t="str">
            <v>給湯・温水利用設備</v>
          </cell>
        </row>
        <row r="292">
          <cell r="L292">
            <v>29044</v>
          </cell>
          <cell r="M292" t="str">
            <v>バイオマス焚き温水ボイラーの導入</v>
          </cell>
          <cell r="N292" t="str">
            <v>燃料低炭素化</v>
          </cell>
          <cell r="O292" t="str">
            <v>給湯・温水利用設備</v>
          </cell>
        </row>
        <row r="293">
          <cell r="L293">
            <v>29040</v>
          </cell>
          <cell r="M293" t="str">
            <v>メニューにない対策（燃料低炭素化）</v>
          </cell>
          <cell r="N293" t="str">
            <v>燃料低炭素化</v>
          </cell>
          <cell r="O293" t="str">
            <v>給湯・温水利用設備</v>
          </cell>
        </row>
        <row r="294">
          <cell r="L294">
            <v>29051</v>
          </cell>
          <cell r="M294" t="str">
            <v>高効率ヒートポンプ給湯機の導入</v>
          </cell>
          <cell r="N294" t="str">
            <v>電化</v>
          </cell>
          <cell r="O294" t="str">
            <v>給湯・温水利用設備</v>
          </cell>
        </row>
        <row r="295">
          <cell r="L295">
            <v>29052</v>
          </cell>
          <cell r="M295" t="str">
            <v>産業用温水ヒートポンプの導入</v>
          </cell>
          <cell r="N295" t="str">
            <v>電化</v>
          </cell>
          <cell r="O295" t="str">
            <v>給湯・温水利用設備</v>
          </cell>
        </row>
        <row r="296">
          <cell r="L296">
            <v>29050</v>
          </cell>
          <cell r="M296" t="str">
            <v>メニューにない対策（電化）</v>
          </cell>
          <cell r="N296" t="str">
            <v>電化</v>
          </cell>
          <cell r="O296" t="str">
            <v>給湯・温水利用設備</v>
          </cell>
        </row>
        <row r="297">
          <cell r="L297" t="str">
            <v>29060_vn</v>
          </cell>
          <cell r="M297" t="str">
            <v>メニューにない対策（電力低炭素化）</v>
          </cell>
          <cell r="N297" t="str">
            <v>電力低炭素化</v>
          </cell>
          <cell r="O297" t="str">
            <v>給湯・温水利用設備</v>
          </cell>
        </row>
        <row r="298">
          <cell r="L298">
            <v>30010</v>
          </cell>
          <cell r="M298" t="str">
            <v>メニューにない対策（運用改善）</v>
          </cell>
          <cell r="N298" t="str">
            <v>運用改善</v>
          </cell>
          <cell r="O298" t="str">
            <v>発電設備</v>
          </cell>
        </row>
        <row r="299">
          <cell r="L299">
            <v>30020</v>
          </cell>
          <cell r="M299" t="str">
            <v>メニューにない対策（部分更新・機能付加）</v>
          </cell>
          <cell r="N299" t="str">
            <v>部分更新・機能付加</v>
          </cell>
          <cell r="O299" t="str">
            <v>発電設備</v>
          </cell>
        </row>
        <row r="300">
          <cell r="L300">
            <v>30031</v>
          </cell>
          <cell r="M300" t="str">
            <v>高効率ガスコージェネレーションシステムの導入</v>
          </cell>
          <cell r="N300" t="str">
            <v>設備導入</v>
          </cell>
          <cell r="O300" t="str">
            <v>発電設備</v>
          </cell>
        </row>
        <row r="301">
          <cell r="L301">
            <v>30032</v>
          </cell>
          <cell r="M301" t="str">
            <v>燃料電池コージェネレーションシステムの導入</v>
          </cell>
          <cell r="N301" t="str">
            <v>設備導入</v>
          </cell>
          <cell r="O301" t="str">
            <v>発電設備</v>
          </cell>
        </row>
        <row r="302">
          <cell r="L302">
            <v>30030</v>
          </cell>
          <cell r="M302" t="str">
            <v>メニューにない対策（設備導入）</v>
          </cell>
          <cell r="N302" t="str">
            <v>設備導入</v>
          </cell>
          <cell r="O302" t="str">
            <v>発電設備</v>
          </cell>
        </row>
        <row r="303">
          <cell r="L303">
            <v>30040</v>
          </cell>
          <cell r="M303" t="str">
            <v>メニューにない対策（燃料低炭素化）</v>
          </cell>
          <cell r="N303" t="str">
            <v>燃料低炭素化</v>
          </cell>
          <cell r="O303" t="str">
            <v>発電設備</v>
          </cell>
        </row>
        <row r="304">
          <cell r="L304" t="str">
            <v>30050_wy</v>
          </cell>
          <cell r="M304" t="str">
            <v>メニューにない対策（電化）</v>
          </cell>
          <cell r="N304" t="str">
            <v>電化</v>
          </cell>
          <cell r="O304" t="str">
            <v>発電設備</v>
          </cell>
        </row>
        <row r="305">
          <cell r="L305">
            <v>30061</v>
          </cell>
          <cell r="M305" t="str">
            <v>太陽光発電設備の導入</v>
          </cell>
          <cell r="N305" t="str">
            <v>電力低炭素化</v>
          </cell>
          <cell r="O305" t="str">
            <v>発電設備</v>
          </cell>
        </row>
        <row r="306">
          <cell r="L306">
            <v>30062</v>
          </cell>
          <cell r="M306" t="str">
            <v>バイオマス燃料を利用する発電設備の導入</v>
          </cell>
          <cell r="N306" t="str">
            <v>電力低炭素化</v>
          </cell>
          <cell r="O306" t="str">
            <v>発電設備</v>
          </cell>
        </row>
        <row r="307">
          <cell r="L307">
            <v>30060</v>
          </cell>
          <cell r="M307" t="str">
            <v>メニューにない対策（電力低炭素化）</v>
          </cell>
          <cell r="N307" t="str">
            <v>電力低炭素化</v>
          </cell>
          <cell r="O307" t="str">
            <v>発電設備</v>
          </cell>
        </row>
        <row r="308">
          <cell r="L308">
            <v>31011</v>
          </cell>
          <cell r="M308" t="str">
            <v>トイレ設備の節電機能の有効利用</v>
          </cell>
          <cell r="N308" t="str">
            <v>運用改善</v>
          </cell>
          <cell r="O308" t="str">
            <v>水利用設備</v>
          </cell>
        </row>
        <row r="309">
          <cell r="L309">
            <v>31010</v>
          </cell>
          <cell r="M309" t="str">
            <v>メニューにない対策（運用改善）</v>
          </cell>
          <cell r="N309" t="str">
            <v>運用改善</v>
          </cell>
          <cell r="O309" t="str">
            <v>水利用設備</v>
          </cell>
        </row>
        <row r="310">
          <cell r="L310">
            <v>31021</v>
          </cell>
          <cell r="M310" t="str">
            <v>節水機能（節水コマ、節水型シャワーヘッド等）の導入</v>
          </cell>
          <cell r="N310" t="str">
            <v>部分更新・機能付加</v>
          </cell>
          <cell r="O310" t="str">
            <v>水利用設備</v>
          </cell>
        </row>
        <row r="311">
          <cell r="L311">
            <v>31022</v>
          </cell>
          <cell r="M311" t="str">
            <v>自動水栓・自動洗浄装置の導入</v>
          </cell>
          <cell r="N311" t="str">
            <v>部分更新・機能付加</v>
          </cell>
          <cell r="O311" t="str">
            <v>水利用設備</v>
          </cell>
        </row>
        <row r="312">
          <cell r="L312">
            <v>31023</v>
          </cell>
          <cell r="M312" t="str">
            <v>水道直結給水方式の導入</v>
          </cell>
          <cell r="N312" t="str">
            <v>部分更新・機能付加</v>
          </cell>
          <cell r="O312" t="str">
            <v>水利用設備</v>
          </cell>
        </row>
        <row r="313">
          <cell r="L313">
            <v>31020</v>
          </cell>
          <cell r="M313" t="str">
            <v>メニューにない対策（部分更新・機能付加）</v>
          </cell>
          <cell r="N313" t="str">
            <v>部分更新・機能付加</v>
          </cell>
          <cell r="O313" t="str">
            <v>水利用設備</v>
          </cell>
        </row>
        <row r="314">
          <cell r="L314">
            <v>31031</v>
          </cell>
          <cell r="M314" t="str">
            <v>節水便器・省エネ便座等の導入</v>
          </cell>
          <cell r="N314" t="str">
            <v>設備導入</v>
          </cell>
          <cell r="O314" t="str">
            <v>水利用設備</v>
          </cell>
        </row>
        <row r="315">
          <cell r="L315">
            <v>31032</v>
          </cell>
          <cell r="M315" t="str">
            <v>中水道設備の導入</v>
          </cell>
          <cell r="N315" t="str">
            <v>設備導入</v>
          </cell>
          <cell r="O315" t="str">
            <v>水利用設備</v>
          </cell>
        </row>
        <row r="316">
          <cell r="L316">
            <v>31030</v>
          </cell>
          <cell r="M316" t="str">
            <v>メニューにない対策（設備導入）</v>
          </cell>
          <cell r="N316" t="str">
            <v>設備導入</v>
          </cell>
          <cell r="O316" t="str">
            <v>水利用設備</v>
          </cell>
        </row>
        <row r="317">
          <cell r="L317" t="str">
            <v>31040_hi</v>
          </cell>
          <cell r="M317" t="str">
            <v>メニューにない対策（燃料低炭素化）</v>
          </cell>
          <cell r="N317" t="str">
            <v>燃料低炭素化</v>
          </cell>
          <cell r="O317" t="str">
            <v>水利用設備</v>
          </cell>
        </row>
        <row r="318">
          <cell r="L318" t="str">
            <v>31050_pq</v>
          </cell>
          <cell r="M318" t="str">
            <v>メニューにない対策（電化）</v>
          </cell>
          <cell r="N318" t="str">
            <v>電化</v>
          </cell>
          <cell r="O318" t="str">
            <v>水利用設備</v>
          </cell>
        </row>
        <row r="319">
          <cell r="L319" t="str">
            <v>31060_ar</v>
          </cell>
          <cell r="M319" t="str">
            <v>メニューにない対策（電力低炭素化）</v>
          </cell>
          <cell r="N319" t="str">
            <v>電力低炭素化</v>
          </cell>
          <cell r="O319" t="str">
            <v>水利用設備</v>
          </cell>
        </row>
        <row r="320">
          <cell r="L320">
            <v>32011</v>
          </cell>
          <cell r="M320" t="str">
            <v>エネルギー管理体制の構築</v>
          </cell>
          <cell r="N320" t="str">
            <v>運用改善</v>
          </cell>
          <cell r="O320" t="str">
            <v>エネルギー管理設備</v>
          </cell>
        </row>
        <row r="321">
          <cell r="L321">
            <v>32010</v>
          </cell>
          <cell r="M321" t="str">
            <v>メニューにない対策（運用改善）</v>
          </cell>
          <cell r="N321" t="str">
            <v>運用改善</v>
          </cell>
          <cell r="O321" t="str">
            <v>エネルギー管理設備</v>
          </cell>
        </row>
        <row r="322">
          <cell r="L322">
            <v>32020</v>
          </cell>
          <cell r="M322" t="str">
            <v>メニューにない対策（部分更新・機能付加）</v>
          </cell>
          <cell r="N322" t="str">
            <v>部分更新・機能付加</v>
          </cell>
          <cell r="O322" t="str">
            <v>エネルギー管理設備</v>
          </cell>
        </row>
        <row r="323">
          <cell r="L323">
            <v>32031</v>
          </cell>
          <cell r="M323" t="str">
            <v>BEMS/FEMSの導入</v>
          </cell>
          <cell r="N323" t="str">
            <v>設備導入</v>
          </cell>
          <cell r="O323" t="str">
            <v>エネルギー管理設備</v>
          </cell>
        </row>
        <row r="324">
          <cell r="L324">
            <v>32030</v>
          </cell>
          <cell r="M324" t="str">
            <v>メニューにない対策（設備導入）</v>
          </cell>
          <cell r="N324" t="str">
            <v>設備導入</v>
          </cell>
          <cell r="O324" t="str">
            <v>エネルギー管理設備</v>
          </cell>
        </row>
        <row r="325">
          <cell r="L325" t="str">
            <v>32040_uq</v>
          </cell>
          <cell r="M325" t="str">
            <v>メニューにない対策（燃料低炭素化）</v>
          </cell>
          <cell r="N325" t="str">
            <v>燃料低炭素化</v>
          </cell>
          <cell r="O325" t="str">
            <v>エネルギー管理設備</v>
          </cell>
        </row>
        <row r="326">
          <cell r="L326" t="str">
            <v>32050_af</v>
          </cell>
          <cell r="M326" t="str">
            <v>メニューにない対策（電化）</v>
          </cell>
          <cell r="N326" t="str">
            <v>電化</v>
          </cell>
          <cell r="O326" t="str">
            <v>エネルギー管理設備</v>
          </cell>
        </row>
        <row r="327">
          <cell r="L327" t="str">
            <v>32060_ki</v>
          </cell>
          <cell r="M327" t="str">
            <v>メニューにない対策（電力低炭素化）</v>
          </cell>
          <cell r="N327" t="str">
            <v>電力低炭素化</v>
          </cell>
          <cell r="O327" t="str">
            <v>エネルギー管理設備</v>
          </cell>
        </row>
        <row r="328">
          <cell r="L328">
            <v>33011</v>
          </cell>
          <cell r="M328" t="str">
            <v>その他の設備機器等の停止</v>
          </cell>
          <cell r="N328" t="str">
            <v>運用改善</v>
          </cell>
          <cell r="O328" t="str">
            <v>その他のシステム、設備機器</v>
          </cell>
        </row>
        <row r="329">
          <cell r="L329">
            <v>33012</v>
          </cell>
          <cell r="M329" t="str">
            <v>その他の設備機器等の待機電力削減</v>
          </cell>
          <cell r="N329" t="str">
            <v>運用改善</v>
          </cell>
          <cell r="O329" t="str">
            <v>その他のシステム、設備機器</v>
          </cell>
        </row>
        <row r="330">
          <cell r="L330">
            <v>33010</v>
          </cell>
          <cell r="M330" t="str">
            <v>メニューにない対策（運用改善）</v>
          </cell>
          <cell r="N330" t="str">
            <v>運用改善</v>
          </cell>
          <cell r="O330" t="str">
            <v>その他のシステム、設備機器</v>
          </cell>
        </row>
        <row r="331">
          <cell r="L331">
            <v>33021</v>
          </cell>
          <cell r="M331" t="str">
            <v>その他の設備機器等の保温</v>
          </cell>
          <cell r="N331" t="str">
            <v>部分更新・機能付加</v>
          </cell>
          <cell r="O331" t="str">
            <v>その他のシステム、設備機器</v>
          </cell>
        </row>
        <row r="332">
          <cell r="L332">
            <v>33022</v>
          </cell>
          <cell r="M332" t="str">
            <v>廃冷温水からの熱回収</v>
          </cell>
          <cell r="N332" t="str">
            <v>部分更新・機能付加</v>
          </cell>
          <cell r="O332" t="str">
            <v>その他のシステム、設備機器</v>
          </cell>
        </row>
        <row r="333">
          <cell r="L333">
            <v>33023</v>
          </cell>
          <cell r="M333" t="str">
            <v>生産設備の高温排気からの熱回収</v>
          </cell>
          <cell r="N333" t="str">
            <v>部分更新・機能付加</v>
          </cell>
          <cell r="O333" t="str">
            <v>その他のシステム、設備機器</v>
          </cell>
        </row>
        <row r="334">
          <cell r="L334">
            <v>33020</v>
          </cell>
          <cell r="M334" t="str">
            <v>メニューにない対策（部分更新・機能付加）</v>
          </cell>
          <cell r="N334" t="str">
            <v>部分更新・機能付加</v>
          </cell>
          <cell r="O334" t="str">
            <v>その他のシステム、設備機器</v>
          </cell>
        </row>
        <row r="335">
          <cell r="L335">
            <v>33031</v>
          </cell>
          <cell r="M335" t="str">
            <v>その他の高効率設備機器等の導入</v>
          </cell>
          <cell r="N335" t="str">
            <v>設備導入</v>
          </cell>
          <cell r="O335" t="str">
            <v>その他のシステム、設備機器</v>
          </cell>
        </row>
        <row r="336">
          <cell r="L336" t="str">
            <v>-</v>
          </cell>
          <cell r="M336" t="str">
            <v>メニューにない対策（設備導入）</v>
          </cell>
          <cell r="N336" t="str">
            <v>設備導入</v>
          </cell>
          <cell r="O336" t="str">
            <v>その他のシステム、設備機器</v>
          </cell>
        </row>
        <row r="337">
          <cell r="L337">
            <v>33041</v>
          </cell>
          <cell r="M337" t="str">
            <v>バイオマス液体燃料の利用</v>
          </cell>
          <cell r="N337" t="str">
            <v>燃料低炭素化</v>
          </cell>
          <cell r="O337" t="str">
            <v>その他のシステム、設備機器</v>
          </cell>
        </row>
        <row r="338">
          <cell r="L338">
            <v>33042</v>
          </cell>
          <cell r="M338" t="str">
            <v>グリーン熱証書の購入</v>
          </cell>
          <cell r="N338" t="str">
            <v>燃料低炭素化</v>
          </cell>
          <cell r="O338" t="str">
            <v>その他のシステム、設備機器</v>
          </cell>
        </row>
        <row r="339">
          <cell r="L339">
            <v>33040</v>
          </cell>
          <cell r="M339" t="str">
            <v>メニューにない対策（燃料低炭素化）</v>
          </cell>
          <cell r="N339" t="str">
            <v>燃料低炭素化</v>
          </cell>
          <cell r="O339" t="str">
            <v>その他のシステム、設備機器</v>
          </cell>
        </row>
        <row r="340">
          <cell r="L340">
            <v>33051</v>
          </cell>
          <cell r="M340" t="str">
            <v>油圧駆動生産設備の電動化</v>
          </cell>
          <cell r="N340" t="str">
            <v>電化</v>
          </cell>
          <cell r="O340" t="str">
            <v>その他のシステム、設備機器</v>
          </cell>
        </row>
        <row r="341">
          <cell r="L341">
            <v>33052</v>
          </cell>
          <cell r="M341" t="str">
            <v>構内車両（フォークリフト等）の電動化</v>
          </cell>
          <cell r="N341" t="str">
            <v>電化</v>
          </cell>
          <cell r="O341" t="str">
            <v>その他のシステム、設備機器</v>
          </cell>
        </row>
        <row r="342">
          <cell r="L342">
            <v>33050</v>
          </cell>
          <cell r="M342" t="str">
            <v>メニューにない対策（電化）</v>
          </cell>
          <cell r="N342" t="str">
            <v>電化</v>
          </cell>
          <cell r="O342" t="str">
            <v>その他のシステム、設備機器</v>
          </cell>
        </row>
        <row r="343">
          <cell r="L343">
            <v>33061</v>
          </cell>
          <cell r="M343" t="str">
            <v>再エネ100%電力への変更</v>
          </cell>
          <cell r="N343" t="str">
            <v>電力低炭素化</v>
          </cell>
          <cell r="O343" t="str">
            <v>その他のシステム、設備機器</v>
          </cell>
        </row>
        <row r="344">
          <cell r="L344">
            <v>33062</v>
          </cell>
          <cell r="M344" t="str">
            <v>グリーン電力証書の購入</v>
          </cell>
          <cell r="N344" t="str">
            <v>電力低炭素化</v>
          </cell>
          <cell r="O344" t="str">
            <v>その他のシステム、設備機器</v>
          </cell>
        </row>
        <row r="345">
          <cell r="L345">
            <v>33060</v>
          </cell>
          <cell r="M345" t="str">
            <v>メニューにない対策（電力低炭素化）</v>
          </cell>
          <cell r="N345" t="str">
            <v>電力低炭素化</v>
          </cell>
          <cell r="O345" t="str">
            <v>その他のシステム、設備機器</v>
          </cell>
        </row>
      </sheetData>
      <sheetData sheetId="50">
        <row r="59">
          <cell r="B59" t="str">
            <v>令和3年度</v>
          </cell>
          <cell r="C59" t="str">
            <v>令和3年</v>
          </cell>
          <cell r="D59" t="str">
            <v>1月</v>
          </cell>
          <cell r="F59" t="str">
            <v>国(SHIFT)</v>
          </cell>
          <cell r="H59" t="str">
            <v>金融機関からの借入金</v>
          </cell>
          <cell r="J59">
            <v>1</v>
          </cell>
          <cell r="M59" t="str">
            <v>ﾕｰﾃｨﾘﾃｨ</v>
          </cell>
          <cell r="O59" t="str">
            <v>空調システム</v>
          </cell>
        </row>
        <row r="60">
          <cell r="B60" t="str">
            <v>令和4年度</v>
          </cell>
          <cell r="C60" t="str">
            <v>令和4年</v>
          </cell>
          <cell r="D60" t="str">
            <v>2月</v>
          </cell>
          <cell r="F60" t="str">
            <v>国
(その他)</v>
          </cell>
          <cell r="H60" t="str">
            <v>自己資金</v>
          </cell>
          <cell r="J60">
            <v>2</v>
          </cell>
          <cell r="M60" t="str">
            <v xml:space="preserve">一般設備 </v>
          </cell>
          <cell r="O60" t="str">
            <v>蒸気システム</v>
          </cell>
        </row>
        <row r="61">
          <cell r="B61" t="str">
            <v>令和5年度</v>
          </cell>
          <cell r="C61" t="str">
            <v>令和5年</v>
          </cell>
          <cell r="D61" t="str">
            <v>3月</v>
          </cell>
          <cell r="F61" t="str">
            <v>地方
自治体</v>
          </cell>
          <cell r="H61" t="str">
            <v>金融機関からの借入金＆
自己資金</v>
          </cell>
          <cell r="J61">
            <v>3</v>
          </cell>
          <cell r="M61" t="str">
            <v xml:space="preserve">生産設備 </v>
          </cell>
          <cell r="O61" t="str">
            <v>冷却水システム</v>
          </cell>
        </row>
        <row r="62">
          <cell r="B62" t="str">
            <v>令和6年度</v>
          </cell>
          <cell r="C62" t="str">
            <v>令和6年</v>
          </cell>
          <cell r="D62" t="str">
            <v>4月</v>
          </cell>
          <cell r="F62" t="str">
            <v>その他
補助金</v>
          </cell>
          <cell r="J62">
            <v>4</v>
          </cell>
          <cell r="O62" t="str">
            <v>圧空システム</v>
          </cell>
        </row>
        <row r="63">
          <cell r="B63" t="str">
            <v>令和7年度</v>
          </cell>
          <cell r="C63" t="str">
            <v>令和7年</v>
          </cell>
          <cell r="D63" t="str">
            <v>5月</v>
          </cell>
          <cell r="F63" t="str">
            <v>予定なし</v>
          </cell>
          <cell r="J63">
            <v>5</v>
          </cell>
          <cell r="O63" t="str">
            <v>その他システム</v>
          </cell>
        </row>
        <row r="64">
          <cell r="B64" t="str">
            <v>令和8年度</v>
          </cell>
          <cell r="C64" t="str">
            <v>令和8年</v>
          </cell>
          <cell r="D64" t="str">
            <v>6月</v>
          </cell>
          <cell r="J64">
            <v>6</v>
          </cell>
          <cell r="O64" t="str">
            <v>照明設備</v>
          </cell>
        </row>
        <row r="65">
          <cell r="B65" t="str">
            <v>令和9年度</v>
          </cell>
          <cell r="C65" t="str">
            <v>令和9年</v>
          </cell>
          <cell r="D65" t="str">
            <v>7月</v>
          </cell>
          <cell r="J65">
            <v>7</v>
          </cell>
          <cell r="O65" t="str">
            <v>受変電・配電設備</v>
          </cell>
        </row>
        <row r="66">
          <cell r="B66" t="str">
            <v>令和10年度</v>
          </cell>
          <cell r="C66" t="str">
            <v>令和10年</v>
          </cell>
          <cell r="D66" t="str">
            <v>8月</v>
          </cell>
          <cell r="J66">
            <v>8</v>
          </cell>
          <cell r="O66" t="str">
            <v>OA機器</v>
          </cell>
        </row>
        <row r="67">
          <cell r="B67" t="str">
            <v>令和11年度</v>
          </cell>
          <cell r="C67" t="str">
            <v>令和11年</v>
          </cell>
          <cell r="D67" t="str">
            <v>9月</v>
          </cell>
          <cell r="J67">
            <v>9</v>
          </cell>
          <cell r="O67" t="str">
            <v>電動機・ポンプ・ファン</v>
          </cell>
        </row>
        <row r="68">
          <cell r="B68" t="str">
            <v>令和12年度</v>
          </cell>
          <cell r="C68" t="str">
            <v>令和12年</v>
          </cell>
          <cell r="D68" t="str">
            <v>10月</v>
          </cell>
          <cell r="J68">
            <v>10</v>
          </cell>
          <cell r="O68" t="str">
            <v>工業炉</v>
          </cell>
        </row>
        <row r="69">
          <cell r="B69" t="str">
            <v>令和13年度</v>
          </cell>
          <cell r="C69" t="str">
            <v>令和13年</v>
          </cell>
          <cell r="D69" t="str">
            <v>11月</v>
          </cell>
          <cell r="J69">
            <v>11</v>
          </cell>
          <cell r="O69" t="str">
            <v>冷凍・冷蔵設備</v>
          </cell>
        </row>
        <row r="70">
          <cell r="B70" t="str">
            <v>令和14年度</v>
          </cell>
          <cell r="C70" t="str">
            <v>令和14年</v>
          </cell>
          <cell r="D70" t="str">
            <v>12月</v>
          </cell>
          <cell r="J70">
            <v>12</v>
          </cell>
          <cell r="O70" t="str">
            <v>排水処理設備</v>
          </cell>
        </row>
        <row r="71">
          <cell r="J71">
            <v>13</v>
          </cell>
          <cell r="O71" t="str">
            <v>昇降設備</v>
          </cell>
        </row>
        <row r="72">
          <cell r="J72">
            <v>14</v>
          </cell>
          <cell r="O72" t="str">
            <v>給湯・温水利用設備</v>
          </cell>
        </row>
        <row r="73">
          <cell r="J73">
            <v>15</v>
          </cell>
          <cell r="O73" t="str">
            <v>発電設備</v>
          </cell>
        </row>
        <row r="74">
          <cell r="B74" t="str">
            <v>令和3年4月</v>
          </cell>
          <cell r="C74" t="str">
            <v>令和3年度</v>
          </cell>
          <cell r="J74">
            <v>16</v>
          </cell>
          <cell r="O74" t="str">
            <v>水利用設備</v>
          </cell>
        </row>
        <row r="75">
          <cell r="B75" t="str">
            <v>令和3年5月</v>
          </cell>
          <cell r="C75" t="str">
            <v>令和3年度</v>
          </cell>
          <cell r="J75">
            <v>17</v>
          </cell>
          <cell r="O75" t="str">
            <v>エネルギー管理設備</v>
          </cell>
        </row>
        <row r="76">
          <cell r="B76" t="str">
            <v>令和3年6月</v>
          </cell>
          <cell r="C76" t="str">
            <v>令和3年度</v>
          </cell>
          <cell r="J76">
            <v>18</v>
          </cell>
          <cell r="O76" t="str">
            <v>その他設備機器</v>
          </cell>
        </row>
        <row r="77">
          <cell r="B77" t="str">
            <v>令和3年7月</v>
          </cell>
          <cell r="C77" t="str">
            <v>令和3年度</v>
          </cell>
          <cell r="F77" t="str">
            <v>---</v>
          </cell>
          <cell r="J77">
            <v>19</v>
          </cell>
        </row>
        <row r="78">
          <cell r="B78" t="str">
            <v>令和3年8月</v>
          </cell>
          <cell r="C78" t="str">
            <v>令和3年度</v>
          </cell>
          <cell r="F78" t="str">
            <v>令和2</v>
          </cell>
          <cell r="J78">
            <v>20</v>
          </cell>
        </row>
        <row r="79">
          <cell r="B79" t="str">
            <v>令和3年9月</v>
          </cell>
          <cell r="C79" t="str">
            <v>令和3年度</v>
          </cell>
          <cell r="F79" t="str">
            <v>令和3</v>
          </cell>
          <cell r="J79">
            <v>21</v>
          </cell>
        </row>
        <row r="80">
          <cell r="B80" t="str">
            <v>令和3年10月</v>
          </cell>
          <cell r="C80" t="str">
            <v>令和3年度</v>
          </cell>
          <cell r="F80" t="str">
            <v>令和4</v>
          </cell>
          <cell r="J80">
            <v>22</v>
          </cell>
        </row>
        <row r="81">
          <cell r="B81" t="str">
            <v>令和3年11月</v>
          </cell>
          <cell r="C81" t="str">
            <v>令和3年度</v>
          </cell>
          <cell r="F81" t="str">
            <v>令和5</v>
          </cell>
          <cell r="J81">
            <v>23</v>
          </cell>
        </row>
        <row r="82">
          <cell r="B82" t="str">
            <v>令和3年12月</v>
          </cell>
          <cell r="C82" t="str">
            <v>令和3年度</v>
          </cell>
          <cell r="F82" t="str">
            <v>令和6</v>
          </cell>
          <cell r="J82">
            <v>24</v>
          </cell>
        </row>
        <row r="83">
          <cell r="B83" t="str">
            <v>令和4年1月</v>
          </cell>
          <cell r="C83" t="str">
            <v>令和3年度</v>
          </cell>
          <cell r="F83" t="str">
            <v>令和7</v>
          </cell>
        </row>
        <row r="84">
          <cell r="B84" t="str">
            <v>令和4年2月</v>
          </cell>
          <cell r="C84" t="str">
            <v>令和3年度</v>
          </cell>
          <cell r="F84" t="str">
            <v>令和8</v>
          </cell>
        </row>
        <row r="85">
          <cell r="B85" t="str">
            <v>令和4年3月</v>
          </cell>
          <cell r="C85" t="str">
            <v>令和3年度</v>
          </cell>
          <cell r="F85" t="str">
            <v>令和9</v>
          </cell>
        </row>
        <row r="86">
          <cell r="B86" t="str">
            <v>令和4年4月</v>
          </cell>
          <cell r="C86" t="str">
            <v>令和4年度</v>
          </cell>
          <cell r="F86" t="str">
            <v>令和10</v>
          </cell>
        </row>
        <row r="87">
          <cell r="B87" t="str">
            <v>令和4年5月</v>
          </cell>
          <cell r="C87" t="str">
            <v>令和4年度</v>
          </cell>
        </row>
        <row r="88">
          <cell r="B88" t="str">
            <v>令和4年6月</v>
          </cell>
          <cell r="C88" t="str">
            <v>令和4年度</v>
          </cell>
        </row>
        <row r="89">
          <cell r="B89" t="str">
            <v>令和4年7月</v>
          </cell>
          <cell r="C89" t="str">
            <v>令和4年度</v>
          </cell>
        </row>
        <row r="90">
          <cell r="B90" t="str">
            <v>令和4年8月</v>
          </cell>
          <cell r="C90" t="str">
            <v>令和4年度</v>
          </cell>
        </row>
        <row r="91">
          <cell r="B91" t="str">
            <v>令和4年9月</v>
          </cell>
          <cell r="C91" t="str">
            <v>令和4年度</v>
          </cell>
        </row>
        <row r="92">
          <cell r="B92" t="str">
            <v>令和4年10月</v>
          </cell>
          <cell r="C92" t="str">
            <v>令和4年度</v>
          </cell>
        </row>
        <row r="93">
          <cell r="B93" t="str">
            <v>令和4年11月</v>
          </cell>
          <cell r="C93" t="str">
            <v>令和4年度</v>
          </cell>
        </row>
        <row r="94">
          <cell r="B94" t="str">
            <v>令和4年12月</v>
          </cell>
          <cell r="C94" t="str">
            <v>令和4年度</v>
          </cell>
        </row>
        <row r="95">
          <cell r="B95" t="str">
            <v>令和5年1月</v>
          </cell>
          <cell r="C95" t="str">
            <v>令和4年度</v>
          </cell>
        </row>
        <row r="96">
          <cell r="B96" t="str">
            <v>令和5年2月</v>
          </cell>
          <cell r="C96" t="str">
            <v>令和4年度</v>
          </cell>
        </row>
        <row r="97">
          <cell r="B97" t="str">
            <v>令和5年3月</v>
          </cell>
          <cell r="C97" t="str">
            <v>令和4年度</v>
          </cell>
        </row>
        <row r="98">
          <cell r="B98" t="str">
            <v>令和5年4月</v>
          </cell>
          <cell r="C98" t="str">
            <v>令和5年度</v>
          </cell>
        </row>
        <row r="99">
          <cell r="B99" t="str">
            <v>令和5年5月</v>
          </cell>
          <cell r="C99" t="str">
            <v>令和5年度</v>
          </cell>
        </row>
        <row r="100">
          <cell r="B100" t="str">
            <v>令和5年6月</v>
          </cell>
          <cell r="C100" t="str">
            <v>令和5年度</v>
          </cell>
        </row>
        <row r="101">
          <cell r="B101" t="str">
            <v>令和5年7月</v>
          </cell>
          <cell r="C101" t="str">
            <v>令和5年度</v>
          </cell>
        </row>
        <row r="102">
          <cell r="B102" t="str">
            <v>令和5年8月</v>
          </cell>
          <cell r="C102" t="str">
            <v>令和5年度</v>
          </cell>
        </row>
        <row r="103">
          <cell r="B103" t="str">
            <v>令和5年9月</v>
          </cell>
          <cell r="C103" t="str">
            <v>令和5年度</v>
          </cell>
        </row>
        <row r="104">
          <cell r="B104" t="str">
            <v>令和5年10月</v>
          </cell>
          <cell r="C104" t="str">
            <v>令和5年度</v>
          </cell>
        </row>
        <row r="105">
          <cell r="B105" t="str">
            <v>令和5年11月</v>
          </cell>
          <cell r="C105" t="str">
            <v>令和5年度</v>
          </cell>
        </row>
        <row r="106">
          <cell r="B106" t="str">
            <v>令和5年12月</v>
          </cell>
          <cell r="C106" t="str">
            <v>令和5年度</v>
          </cell>
        </row>
        <row r="107">
          <cell r="B107" t="str">
            <v>令和6年1月</v>
          </cell>
          <cell r="C107" t="str">
            <v>令和5年度</v>
          </cell>
        </row>
        <row r="108">
          <cell r="B108" t="str">
            <v>令和6年2月</v>
          </cell>
          <cell r="C108" t="str">
            <v>令和5年度</v>
          </cell>
        </row>
        <row r="109">
          <cell r="B109" t="str">
            <v>令和6年3月</v>
          </cell>
          <cell r="C109" t="str">
            <v>令和5年度</v>
          </cell>
        </row>
        <row r="110">
          <cell r="B110" t="str">
            <v>令和6年4月</v>
          </cell>
          <cell r="C110" t="str">
            <v>令和6年度</v>
          </cell>
        </row>
        <row r="111">
          <cell r="B111" t="str">
            <v>令和6年5月</v>
          </cell>
          <cell r="C111" t="str">
            <v>令和6年度</v>
          </cell>
        </row>
        <row r="112">
          <cell r="B112" t="str">
            <v>令和6年6月</v>
          </cell>
          <cell r="C112" t="str">
            <v>令和6年度</v>
          </cell>
        </row>
        <row r="113">
          <cell r="B113" t="str">
            <v>令和6年7月</v>
          </cell>
          <cell r="C113" t="str">
            <v>令和6年度</v>
          </cell>
        </row>
        <row r="114">
          <cell r="B114" t="str">
            <v>令和6年8月</v>
          </cell>
          <cell r="C114" t="str">
            <v>令和6年度</v>
          </cell>
        </row>
        <row r="115">
          <cell r="B115" t="str">
            <v>令和6年9月</v>
          </cell>
          <cell r="C115" t="str">
            <v>令和6年度</v>
          </cell>
        </row>
        <row r="116">
          <cell r="B116" t="str">
            <v>令和6年10月</v>
          </cell>
          <cell r="C116" t="str">
            <v>令和6年度</v>
          </cell>
        </row>
        <row r="117">
          <cell r="B117" t="str">
            <v>令和6年11月</v>
          </cell>
          <cell r="C117" t="str">
            <v>令和6年度</v>
          </cell>
        </row>
        <row r="118">
          <cell r="B118" t="str">
            <v>令和6年12月</v>
          </cell>
          <cell r="C118" t="str">
            <v>令和6年度</v>
          </cell>
        </row>
        <row r="119">
          <cell r="B119" t="str">
            <v>令和7年1月</v>
          </cell>
          <cell r="C119" t="str">
            <v>令和6年度</v>
          </cell>
        </row>
        <row r="120">
          <cell r="B120" t="str">
            <v>令和7年2月</v>
          </cell>
          <cell r="C120" t="str">
            <v>令和6年度</v>
          </cell>
        </row>
        <row r="121">
          <cell r="B121" t="str">
            <v>令和7年3月</v>
          </cell>
          <cell r="C121" t="str">
            <v>令和6年度</v>
          </cell>
        </row>
        <row r="122">
          <cell r="B122" t="str">
            <v>令和7年4月</v>
          </cell>
          <cell r="C122" t="str">
            <v>令和7年度</v>
          </cell>
        </row>
        <row r="123">
          <cell r="B123" t="str">
            <v>令和7年5月</v>
          </cell>
          <cell r="C123" t="str">
            <v>令和7年度</v>
          </cell>
        </row>
        <row r="124">
          <cell r="B124" t="str">
            <v>令和7年6月</v>
          </cell>
          <cell r="C124" t="str">
            <v>令和7年度</v>
          </cell>
        </row>
        <row r="125">
          <cell r="B125" t="str">
            <v>令和7年7月</v>
          </cell>
          <cell r="C125" t="str">
            <v>令和7年度</v>
          </cell>
        </row>
        <row r="126">
          <cell r="B126" t="str">
            <v>令和7年8月</v>
          </cell>
          <cell r="C126" t="str">
            <v>令和7年度</v>
          </cell>
        </row>
        <row r="127">
          <cell r="B127" t="str">
            <v>令和7年9月</v>
          </cell>
          <cell r="C127" t="str">
            <v>令和7年度</v>
          </cell>
        </row>
        <row r="128">
          <cell r="B128" t="str">
            <v>令和7年10月</v>
          </cell>
          <cell r="C128" t="str">
            <v>令和7年度</v>
          </cell>
        </row>
        <row r="129">
          <cell r="B129" t="str">
            <v>令和7年11月</v>
          </cell>
          <cell r="C129" t="str">
            <v>令和7年度</v>
          </cell>
        </row>
        <row r="130">
          <cell r="B130" t="str">
            <v>令和7年12月</v>
          </cell>
          <cell r="C130" t="str">
            <v>令和7年度</v>
          </cell>
        </row>
        <row r="131">
          <cell r="B131" t="str">
            <v>令和8年1月</v>
          </cell>
          <cell r="C131" t="str">
            <v>令和7年度</v>
          </cell>
        </row>
        <row r="132">
          <cell r="B132" t="str">
            <v>令和8年2月</v>
          </cell>
          <cell r="C132" t="str">
            <v>令和7年度</v>
          </cell>
        </row>
        <row r="133">
          <cell r="B133" t="str">
            <v>令和8年3月</v>
          </cell>
          <cell r="C133" t="str">
            <v>令和7年度</v>
          </cell>
        </row>
        <row r="134">
          <cell r="B134" t="str">
            <v>令和8年4月</v>
          </cell>
          <cell r="C134" t="str">
            <v>令和8年度</v>
          </cell>
        </row>
        <row r="135">
          <cell r="B135" t="str">
            <v>令和8年5月</v>
          </cell>
          <cell r="C135" t="str">
            <v>令和8年度</v>
          </cell>
        </row>
        <row r="136">
          <cell r="B136" t="str">
            <v>令和8年6月</v>
          </cell>
          <cell r="C136" t="str">
            <v>令和8年度</v>
          </cell>
        </row>
        <row r="137">
          <cell r="B137" t="str">
            <v>令和8年7月</v>
          </cell>
          <cell r="C137" t="str">
            <v>令和8年度</v>
          </cell>
        </row>
        <row r="138">
          <cell r="B138" t="str">
            <v>令和8年8月</v>
          </cell>
          <cell r="C138" t="str">
            <v>令和8年度</v>
          </cell>
        </row>
        <row r="139">
          <cell r="B139" t="str">
            <v>令和8年9月</v>
          </cell>
          <cell r="C139" t="str">
            <v>令和8年度</v>
          </cell>
        </row>
        <row r="140">
          <cell r="B140" t="str">
            <v>令和8年10月</v>
          </cell>
          <cell r="C140" t="str">
            <v>令和8年度</v>
          </cell>
        </row>
        <row r="141">
          <cell r="B141" t="str">
            <v>令和8年11月</v>
          </cell>
          <cell r="C141" t="str">
            <v>令和8年度</v>
          </cell>
        </row>
        <row r="142">
          <cell r="B142" t="str">
            <v>令和8年12月</v>
          </cell>
          <cell r="C142" t="str">
            <v>令和8年度</v>
          </cell>
        </row>
        <row r="143">
          <cell r="B143" t="str">
            <v>令和9年1月</v>
          </cell>
          <cell r="C143" t="str">
            <v>令和8年度</v>
          </cell>
        </row>
        <row r="144">
          <cell r="B144" t="str">
            <v>令和9年2月</v>
          </cell>
          <cell r="C144" t="str">
            <v>令和8年度</v>
          </cell>
        </row>
        <row r="145">
          <cell r="B145" t="str">
            <v>令和9年3月</v>
          </cell>
          <cell r="C145" t="str">
            <v>令和8年度</v>
          </cell>
        </row>
        <row r="146">
          <cell r="B146" t="str">
            <v>令和9年4月</v>
          </cell>
          <cell r="C146" t="str">
            <v>令和9年度</v>
          </cell>
        </row>
        <row r="147">
          <cell r="B147" t="str">
            <v>令和9年5月</v>
          </cell>
          <cell r="C147" t="str">
            <v>令和9年度</v>
          </cell>
        </row>
        <row r="148">
          <cell r="B148" t="str">
            <v>令和9年6月</v>
          </cell>
          <cell r="C148" t="str">
            <v>令和9年度</v>
          </cell>
        </row>
        <row r="149">
          <cell r="B149" t="str">
            <v>令和9年7月</v>
          </cell>
          <cell r="C149" t="str">
            <v>令和9年度</v>
          </cell>
        </row>
        <row r="150">
          <cell r="B150" t="str">
            <v>令和9年8月</v>
          </cell>
          <cell r="C150" t="str">
            <v>令和9年度</v>
          </cell>
        </row>
        <row r="151">
          <cell r="B151" t="str">
            <v>令和9年9月</v>
          </cell>
          <cell r="C151" t="str">
            <v>令和9年度</v>
          </cell>
        </row>
        <row r="152">
          <cell r="B152" t="str">
            <v>令和9年10月</v>
          </cell>
          <cell r="C152" t="str">
            <v>令和9年度</v>
          </cell>
        </row>
        <row r="153">
          <cell r="B153" t="str">
            <v>令和9年11月</v>
          </cell>
          <cell r="C153" t="str">
            <v>令和9年度</v>
          </cell>
        </row>
        <row r="154">
          <cell r="B154" t="str">
            <v>令和9年12月</v>
          </cell>
          <cell r="C154" t="str">
            <v>令和9年度</v>
          </cell>
        </row>
        <row r="155">
          <cell r="B155" t="str">
            <v>令和10年1月</v>
          </cell>
          <cell r="C155" t="str">
            <v>令和9年度</v>
          </cell>
        </row>
        <row r="156">
          <cell r="B156" t="str">
            <v>令和10年2月</v>
          </cell>
          <cell r="C156" t="str">
            <v>令和9年度</v>
          </cell>
        </row>
        <row r="157">
          <cell r="B157" t="str">
            <v>令和10年3月</v>
          </cell>
          <cell r="C157" t="str">
            <v>令和9年度</v>
          </cell>
        </row>
        <row r="158">
          <cell r="B158" t="str">
            <v>令和10年4月</v>
          </cell>
          <cell r="C158" t="str">
            <v>令和10年度</v>
          </cell>
        </row>
        <row r="159">
          <cell r="B159" t="str">
            <v>令和10年5月</v>
          </cell>
          <cell r="C159" t="str">
            <v>令和10年度</v>
          </cell>
        </row>
        <row r="160">
          <cell r="B160" t="str">
            <v>令和10年6月</v>
          </cell>
          <cell r="C160" t="str">
            <v>令和10年度</v>
          </cell>
        </row>
        <row r="161">
          <cell r="B161" t="str">
            <v>令和10年7月</v>
          </cell>
          <cell r="C161" t="str">
            <v>令和10年度</v>
          </cell>
        </row>
        <row r="162">
          <cell r="B162" t="str">
            <v>令和10年8月</v>
          </cell>
          <cell r="C162" t="str">
            <v>令和10年度</v>
          </cell>
        </row>
        <row r="163">
          <cell r="B163" t="str">
            <v>令和10年9月</v>
          </cell>
          <cell r="C163" t="str">
            <v>令和10年度</v>
          </cell>
        </row>
        <row r="164">
          <cell r="B164" t="str">
            <v>令和10年10月</v>
          </cell>
          <cell r="C164" t="str">
            <v>令和10年度</v>
          </cell>
        </row>
        <row r="165">
          <cell r="B165" t="str">
            <v>令和10年11月</v>
          </cell>
          <cell r="C165" t="str">
            <v>令和10年度</v>
          </cell>
        </row>
        <row r="166">
          <cell r="B166" t="str">
            <v>令和10年12月</v>
          </cell>
          <cell r="C166" t="str">
            <v>令和10年度</v>
          </cell>
        </row>
        <row r="167">
          <cell r="B167" t="str">
            <v>令和11年1月</v>
          </cell>
          <cell r="C167" t="str">
            <v>令和10年度</v>
          </cell>
        </row>
        <row r="168">
          <cell r="B168" t="str">
            <v>令和11年2月</v>
          </cell>
          <cell r="C168" t="str">
            <v>令和10年度</v>
          </cell>
        </row>
        <row r="169">
          <cell r="B169" t="str">
            <v>令和11年3月</v>
          </cell>
          <cell r="C169" t="str">
            <v>令和10年度</v>
          </cell>
        </row>
        <row r="170">
          <cell r="B170" t="str">
            <v>令和11年4月</v>
          </cell>
          <cell r="C170" t="str">
            <v>令和11年度</v>
          </cell>
        </row>
        <row r="171">
          <cell r="B171" t="str">
            <v>令和11年5月</v>
          </cell>
          <cell r="C171" t="str">
            <v>令和11年度</v>
          </cell>
        </row>
        <row r="172">
          <cell r="B172" t="str">
            <v>令和11年6月</v>
          </cell>
          <cell r="C172" t="str">
            <v>令和11年度</v>
          </cell>
        </row>
        <row r="173">
          <cell r="B173" t="str">
            <v>令和11年7月</v>
          </cell>
          <cell r="C173" t="str">
            <v>令和11年度</v>
          </cell>
        </row>
        <row r="174">
          <cell r="B174" t="str">
            <v>令和11年8月</v>
          </cell>
          <cell r="C174" t="str">
            <v>令和11年度</v>
          </cell>
        </row>
        <row r="175">
          <cell r="B175" t="str">
            <v>令和11年9月</v>
          </cell>
          <cell r="C175" t="str">
            <v>令和11年度</v>
          </cell>
        </row>
        <row r="176">
          <cell r="B176" t="str">
            <v>令和11年10月</v>
          </cell>
          <cell r="C176" t="str">
            <v>令和11年度</v>
          </cell>
        </row>
        <row r="177">
          <cell r="B177" t="str">
            <v>令和11年11月</v>
          </cell>
          <cell r="C177" t="str">
            <v>令和11年度</v>
          </cell>
        </row>
        <row r="178">
          <cell r="B178" t="str">
            <v>令和11年12月</v>
          </cell>
          <cell r="C178" t="str">
            <v>令和11年度</v>
          </cell>
        </row>
        <row r="179">
          <cell r="B179" t="str">
            <v>令和12年1月</v>
          </cell>
          <cell r="C179" t="str">
            <v>令和11年度</v>
          </cell>
        </row>
        <row r="180">
          <cell r="B180" t="str">
            <v>令和12年2月</v>
          </cell>
          <cell r="C180" t="str">
            <v>令和11年度</v>
          </cell>
        </row>
        <row r="181">
          <cell r="B181" t="str">
            <v>令和12年3月</v>
          </cell>
          <cell r="C181" t="str">
            <v>令和11年度</v>
          </cell>
        </row>
        <row r="182">
          <cell r="B182" t="str">
            <v>令和12年4月</v>
          </cell>
          <cell r="C182" t="str">
            <v>令和12年度</v>
          </cell>
        </row>
        <row r="183">
          <cell r="B183" t="str">
            <v>令和12年5月</v>
          </cell>
          <cell r="C183" t="str">
            <v>令和12年度</v>
          </cell>
        </row>
        <row r="184">
          <cell r="B184" t="str">
            <v>令和12年6月</v>
          </cell>
          <cell r="C184" t="str">
            <v>令和12年度</v>
          </cell>
        </row>
        <row r="185">
          <cell r="B185" t="str">
            <v>令和12年7月</v>
          </cell>
          <cell r="C185" t="str">
            <v>令和12年度</v>
          </cell>
        </row>
        <row r="186">
          <cell r="B186" t="str">
            <v>令和12年8月</v>
          </cell>
          <cell r="C186" t="str">
            <v>令和12年度</v>
          </cell>
        </row>
        <row r="187">
          <cell r="B187" t="str">
            <v>令和12年9月</v>
          </cell>
          <cell r="C187" t="str">
            <v>令和12年度</v>
          </cell>
        </row>
        <row r="188">
          <cell r="B188" t="str">
            <v>令和12年10月</v>
          </cell>
          <cell r="C188" t="str">
            <v>令和12年度</v>
          </cell>
        </row>
        <row r="189">
          <cell r="B189" t="str">
            <v>令和12年11月</v>
          </cell>
          <cell r="C189" t="str">
            <v>令和12年度</v>
          </cell>
        </row>
        <row r="190">
          <cell r="B190" t="str">
            <v>令和12年12月</v>
          </cell>
          <cell r="C190" t="str">
            <v>令和12年度</v>
          </cell>
        </row>
        <row r="191">
          <cell r="B191" t="str">
            <v>令和13年1月</v>
          </cell>
          <cell r="C191" t="str">
            <v>令和12年度</v>
          </cell>
        </row>
        <row r="192">
          <cell r="B192" t="str">
            <v>令和13年2月</v>
          </cell>
          <cell r="C192" t="str">
            <v>令和12年度</v>
          </cell>
        </row>
        <row r="193">
          <cell r="B193" t="str">
            <v>令和13年3月</v>
          </cell>
          <cell r="C193" t="str">
            <v>令和12年度</v>
          </cell>
        </row>
        <row r="194">
          <cell r="B194" t="str">
            <v>令和13年4月</v>
          </cell>
          <cell r="C194" t="str">
            <v>令和13年度</v>
          </cell>
        </row>
        <row r="195">
          <cell r="B195" t="str">
            <v>令和13年5月</v>
          </cell>
          <cell r="C195" t="str">
            <v>令和13年度</v>
          </cell>
        </row>
        <row r="196">
          <cell r="B196" t="str">
            <v>令和13年6月</v>
          </cell>
          <cell r="C196" t="str">
            <v>令和13年度</v>
          </cell>
        </row>
        <row r="197">
          <cell r="B197" t="str">
            <v>令和13年7月</v>
          </cell>
          <cell r="C197" t="str">
            <v>令和13年度</v>
          </cell>
        </row>
        <row r="198">
          <cell r="B198" t="str">
            <v>令和13年8月</v>
          </cell>
          <cell r="C198" t="str">
            <v>令和13年度</v>
          </cell>
        </row>
        <row r="199">
          <cell r="B199" t="str">
            <v>令和13年9月</v>
          </cell>
          <cell r="C199" t="str">
            <v>令和13年度</v>
          </cell>
        </row>
        <row r="200">
          <cell r="B200" t="str">
            <v>令和13年10月</v>
          </cell>
          <cell r="C200" t="str">
            <v>令和13年度</v>
          </cell>
        </row>
        <row r="201">
          <cell r="B201" t="str">
            <v>令和13年11月</v>
          </cell>
          <cell r="C201" t="str">
            <v>令和13年度</v>
          </cell>
        </row>
        <row r="202">
          <cell r="B202" t="str">
            <v>令和13年12月</v>
          </cell>
          <cell r="C202" t="str">
            <v>令和13年度</v>
          </cell>
        </row>
        <row r="203">
          <cell r="B203" t="str">
            <v>令和14年1月</v>
          </cell>
          <cell r="C203" t="str">
            <v>令和13年度</v>
          </cell>
        </row>
        <row r="204">
          <cell r="B204" t="str">
            <v>令和14年2月</v>
          </cell>
          <cell r="C204" t="str">
            <v>令和13年度</v>
          </cell>
        </row>
        <row r="205">
          <cell r="B205" t="str">
            <v>令和14年3月</v>
          </cell>
          <cell r="C205" t="str">
            <v>令和13年度</v>
          </cell>
        </row>
        <row r="206">
          <cell r="B206" t="str">
            <v>令和14年4月</v>
          </cell>
          <cell r="C206" t="str">
            <v>令和14年度</v>
          </cell>
        </row>
        <row r="207">
          <cell r="B207" t="str">
            <v>令和14年5月</v>
          </cell>
          <cell r="C207" t="str">
            <v>令和14年度</v>
          </cell>
        </row>
        <row r="208">
          <cell r="B208" t="str">
            <v>令和14年6月</v>
          </cell>
          <cell r="C208" t="str">
            <v>令和14年度</v>
          </cell>
        </row>
        <row r="209">
          <cell r="B209" t="str">
            <v>令和14年7月</v>
          </cell>
          <cell r="C209" t="str">
            <v>令和14年度</v>
          </cell>
        </row>
        <row r="210">
          <cell r="B210" t="str">
            <v>令和14年8月</v>
          </cell>
          <cell r="C210" t="str">
            <v>令和14年度</v>
          </cell>
        </row>
        <row r="211">
          <cell r="B211" t="str">
            <v>令和14年9月</v>
          </cell>
          <cell r="C211" t="str">
            <v>令和14年度</v>
          </cell>
        </row>
        <row r="212">
          <cell r="B212" t="str">
            <v>令和14年10月</v>
          </cell>
          <cell r="C212" t="str">
            <v>令和14年度</v>
          </cell>
        </row>
        <row r="213">
          <cell r="B213" t="str">
            <v>令和14年11月</v>
          </cell>
          <cell r="C213" t="str">
            <v>令和14年度</v>
          </cell>
        </row>
        <row r="214">
          <cell r="B214" t="str">
            <v>令和14年12月</v>
          </cell>
          <cell r="C214" t="str">
            <v>令和14年度</v>
          </cell>
        </row>
        <row r="215">
          <cell r="B215" t="str">
            <v>令和15年1月</v>
          </cell>
          <cell r="C215" t="str">
            <v>令和14年度</v>
          </cell>
        </row>
        <row r="216">
          <cell r="B216" t="str">
            <v>令和15年2月</v>
          </cell>
          <cell r="C216" t="str">
            <v>令和14年度</v>
          </cell>
        </row>
        <row r="217">
          <cell r="B217" t="str">
            <v>令和15年3月</v>
          </cell>
          <cell r="C217" t="str">
            <v>令和14年度</v>
          </cell>
        </row>
      </sheetData>
      <sheetData sheetId="51">
        <row r="7">
          <cell r="E7" t="str">
            <v>（未選択）</v>
          </cell>
        </row>
        <row r="8">
          <cell r="E8" t="str">
            <v>系統電力①</v>
          </cell>
          <cell r="F8">
            <v>1</v>
          </cell>
          <cell r="G8" t="str">
            <v>使用量</v>
          </cell>
          <cell r="H8" t="str">
            <v>kWh</v>
          </cell>
          <cell r="I8" t="str">
            <v>---</v>
          </cell>
          <cell r="J8" t="str">
            <v>t-CO2/kWh</v>
          </cell>
          <cell r="K8" t="str">
            <v>千円/kWh</v>
          </cell>
        </row>
        <row r="9">
          <cell r="E9" t="str">
            <v>系統電力②</v>
          </cell>
          <cell r="F9">
            <v>1</v>
          </cell>
          <cell r="G9" t="str">
            <v>使用量</v>
          </cell>
          <cell r="H9" t="str">
            <v>kWh</v>
          </cell>
          <cell r="I9" t="str">
            <v>---</v>
          </cell>
          <cell r="J9" t="str">
            <v>t-CO2/kWh</v>
          </cell>
          <cell r="K9" t="str">
            <v>千円/kWh</v>
          </cell>
        </row>
        <row r="10">
          <cell r="E10" t="str">
            <v>系統電力切替先①</v>
          </cell>
          <cell r="F10">
            <v>1</v>
          </cell>
          <cell r="G10" t="str">
            <v>使用量</v>
          </cell>
          <cell r="H10" t="str">
            <v>kWh</v>
          </cell>
          <cell r="I10" t="str">
            <v>---</v>
          </cell>
          <cell r="J10" t="str">
            <v>t-CO2/kWh</v>
          </cell>
          <cell r="K10" t="str">
            <v>千円/kWh</v>
          </cell>
        </row>
        <row r="11">
          <cell r="E11" t="str">
            <v>系統電力切替先②</v>
          </cell>
          <cell r="F11">
            <v>1</v>
          </cell>
          <cell r="G11" t="str">
            <v>使用量</v>
          </cell>
          <cell r="H11" t="str">
            <v>kWh</v>
          </cell>
          <cell r="I11" t="str">
            <v>---</v>
          </cell>
          <cell r="J11" t="str">
            <v>t-CO2/kWh</v>
          </cell>
          <cell r="K11" t="str">
            <v>千円/kWh</v>
          </cell>
        </row>
        <row r="12">
          <cell r="E12" t="str">
            <v>輸入原料炭</v>
          </cell>
          <cell r="F12">
            <v>0</v>
          </cell>
          <cell r="G12" t="str">
            <v>使用量</v>
          </cell>
          <cell r="H12" t="str">
            <v>t</v>
          </cell>
          <cell r="I12" t="str">
            <v>GJ/t</v>
          </cell>
          <cell r="J12" t="str">
            <v>t-CO2/GJ</v>
          </cell>
          <cell r="K12" t="str">
            <v>千円/t</v>
          </cell>
        </row>
        <row r="13">
          <cell r="E13" t="str">
            <v>国産一般炭</v>
          </cell>
          <cell r="F13">
            <v>0</v>
          </cell>
          <cell r="G13" t="str">
            <v>使用量</v>
          </cell>
          <cell r="H13" t="str">
            <v>t</v>
          </cell>
          <cell r="I13" t="str">
            <v>GJ/t</v>
          </cell>
          <cell r="J13" t="str">
            <v>t-CO2/GJ</v>
          </cell>
          <cell r="K13" t="str">
            <v>千円/t</v>
          </cell>
        </row>
        <row r="14">
          <cell r="E14" t="str">
            <v>輸入一般炭</v>
          </cell>
          <cell r="F14">
            <v>0</v>
          </cell>
          <cell r="G14" t="str">
            <v>使用量</v>
          </cell>
          <cell r="H14" t="str">
            <v>t</v>
          </cell>
          <cell r="I14" t="str">
            <v>GJ/t</v>
          </cell>
          <cell r="J14" t="str">
            <v>t-CO2/GJ</v>
          </cell>
          <cell r="K14" t="str">
            <v>千円/t</v>
          </cell>
        </row>
        <row r="15">
          <cell r="E15" t="str">
            <v>輸入無煙炭</v>
          </cell>
          <cell r="F15">
            <v>0</v>
          </cell>
          <cell r="G15" t="str">
            <v>使用量</v>
          </cell>
          <cell r="H15" t="str">
            <v>t</v>
          </cell>
          <cell r="I15" t="str">
            <v>GJ/t</v>
          </cell>
          <cell r="J15" t="str">
            <v>t-CO2/GJ</v>
          </cell>
          <cell r="K15" t="str">
            <v>千円/t</v>
          </cell>
        </row>
        <row r="16">
          <cell r="E16" t="str">
            <v>コークス</v>
          </cell>
          <cell r="F16">
            <v>0</v>
          </cell>
          <cell r="G16" t="str">
            <v>使用量</v>
          </cell>
          <cell r="H16" t="str">
            <v>t</v>
          </cell>
          <cell r="I16" t="str">
            <v>GJ/t</v>
          </cell>
          <cell r="J16" t="str">
            <v>t-CO2/GJ</v>
          </cell>
          <cell r="K16" t="str">
            <v>千円/t</v>
          </cell>
        </row>
        <row r="17">
          <cell r="E17" t="str">
            <v>原油</v>
          </cell>
          <cell r="F17">
            <v>0</v>
          </cell>
          <cell r="G17" t="str">
            <v>使用量</v>
          </cell>
          <cell r="H17" t="str">
            <v>kl</v>
          </cell>
          <cell r="I17" t="str">
            <v>GJ/kl</v>
          </cell>
          <cell r="J17" t="str">
            <v>t-CO2/GJ</v>
          </cell>
          <cell r="K17" t="str">
            <v>千円/kl</v>
          </cell>
        </row>
        <row r="18">
          <cell r="E18" t="str">
            <v>ガソリン</v>
          </cell>
          <cell r="F18">
            <v>0</v>
          </cell>
          <cell r="G18" t="str">
            <v>使用量</v>
          </cell>
          <cell r="H18" t="str">
            <v>kl</v>
          </cell>
          <cell r="I18" t="str">
            <v>GJ/kl</v>
          </cell>
          <cell r="J18" t="str">
            <v>t-CO2/GJ</v>
          </cell>
          <cell r="K18" t="str">
            <v>千円/kl</v>
          </cell>
        </row>
        <row r="19">
          <cell r="E19" t="str">
            <v>ナフサ</v>
          </cell>
          <cell r="F19">
            <v>0</v>
          </cell>
          <cell r="G19" t="str">
            <v>使用量</v>
          </cell>
          <cell r="H19" t="str">
            <v>kl</v>
          </cell>
          <cell r="I19" t="str">
            <v>GJ/kl</v>
          </cell>
          <cell r="J19" t="str">
            <v>t-CO2/GJ</v>
          </cell>
          <cell r="K19" t="str">
            <v>千円/kl</v>
          </cell>
        </row>
        <row r="20">
          <cell r="E20" t="str">
            <v>ジェット燃料</v>
          </cell>
          <cell r="F20">
            <v>0</v>
          </cell>
          <cell r="G20" t="str">
            <v>使用量</v>
          </cell>
          <cell r="H20" t="str">
            <v>kl</v>
          </cell>
          <cell r="I20" t="str">
            <v>GJ/kl</v>
          </cell>
          <cell r="J20" t="str">
            <v>t-CO2/GJ</v>
          </cell>
          <cell r="K20" t="str">
            <v>千円/kl</v>
          </cell>
        </row>
        <row r="21">
          <cell r="E21" t="str">
            <v>灯油</v>
          </cell>
          <cell r="F21">
            <v>0</v>
          </cell>
          <cell r="G21" t="str">
            <v>使用量</v>
          </cell>
          <cell r="H21" t="str">
            <v>kl</v>
          </cell>
          <cell r="I21" t="str">
            <v>GJ/kl</v>
          </cell>
          <cell r="J21" t="str">
            <v>t-CO2/GJ</v>
          </cell>
          <cell r="K21" t="str">
            <v>千円/kl</v>
          </cell>
        </row>
        <row r="22">
          <cell r="E22" t="str">
            <v>軽油</v>
          </cell>
          <cell r="F22">
            <v>0</v>
          </cell>
          <cell r="G22" t="str">
            <v>使用量</v>
          </cell>
          <cell r="H22" t="str">
            <v>kl</v>
          </cell>
          <cell r="I22" t="str">
            <v>GJ/kl</v>
          </cell>
          <cell r="J22" t="str">
            <v>t-CO2/GJ</v>
          </cell>
          <cell r="K22" t="str">
            <v>千円/kl</v>
          </cell>
        </row>
        <row r="23">
          <cell r="E23" t="str">
            <v>A重油</v>
          </cell>
          <cell r="F23">
            <v>0</v>
          </cell>
          <cell r="G23" t="str">
            <v>使用量</v>
          </cell>
          <cell r="H23" t="str">
            <v>kl</v>
          </cell>
          <cell r="I23" t="str">
            <v>GJ/kl</v>
          </cell>
          <cell r="J23" t="str">
            <v>t-CO2/GJ</v>
          </cell>
          <cell r="K23" t="str">
            <v>千円/kl</v>
          </cell>
        </row>
        <row r="24">
          <cell r="E24" t="str">
            <v>B重油</v>
          </cell>
          <cell r="F24">
            <v>0</v>
          </cell>
          <cell r="G24" t="str">
            <v>使用量</v>
          </cell>
          <cell r="H24" t="str">
            <v>kl</v>
          </cell>
          <cell r="I24" t="str">
            <v>GJ/kl</v>
          </cell>
          <cell r="J24" t="str">
            <v>t-CO2/GJ</v>
          </cell>
          <cell r="K24" t="str">
            <v>千円/kl</v>
          </cell>
        </row>
        <row r="25">
          <cell r="E25" t="str">
            <v>C重油</v>
          </cell>
          <cell r="F25">
            <v>0</v>
          </cell>
          <cell r="G25" t="str">
            <v>使用量</v>
          </cell>
          <cell r="H25" t="str">
            <v>kl</v>
          </cell>
          <cell r="I25" t="str">
            <v>GJ/kl</v>
          </cell>
          <cell r="J25" t="str">
            <v>t-CO2/GJ</v>
          </cell>
          <cell r="K25" t="str">
            <v>千円/kl</v>
          </cell>
        </row>
        <row r="26">
          <cell r="E26" t="str">
            <v>潤滑油</v>
          </cell>
          <cell r="F26">
            <v>0</v>
          </cell>
          <cell r="G26" t="str">
            <v>使用量</v>
          </cell>
          <cell r="H26" t="str">
            <v>kl</v>
          </cell>
          <cell r="I26" t="str">
            <v>GJ/kl</v>
          </cell>
          <cell r="J26" t="str">
            <v>t-CO2/GJ</v>
          </cell>
          <cell r="K26" t="str">
            <v>千円/kl</v>
          </cell>
        </row>
        <row r="27">
          <cell r="E27" t="str">
            <v>オイルコークス</v>
          </cell>
          <cell r="F27">
            <v>0</v>
          </cell>
          <cell r="G27" t="str">
            <v>使用量</v>
          </cell>
          <cell r="H27" t="str">
            <v>t</v>
          </cell>
          <cell r="I27" t="str">
            <v>GJ/t</v>
          </cell>
          <cell r="J27" t="str">
            <v>t-CO2/GJ</v>
          </cell>
          <cell r="K27" t="str">
            <v>千円/t</v>
          </cell>
        </row>
        <row r="28">
          <cell r="E28" t="str">
            <v>LPG</v>
          </cell>
          <cell r="F28">
            <v>0</v>
          </cell>
          <cell r="G28" t="str">
            <v>使用量</v>
          </cell>
          <cell r="H28" t="str">
            <v>t</v>
          </cell>
          <cell r="I28" t="str">
            <v>GJ/t</v>
          </cell>
          <cell r="J28" t="str">
            <v>t-CO2/GJ</v>
          </cell>
          <cell r="K28" t="str">
            <v>千円/t</v>
          </cell>
        </row>
        <row r="29">
          <cell r="E29" t="str">
            <v>天然ガス</v>
          </cell>
          <cell r="F29">
            <v>0</v>
          </cell>
          <cell r="G29" t="str">
            <v>使用量</v>
          </cell>
          <cell r="H29" t="str">
            <v>千Nm3</v>
          </cell>
          <cell r="I29" t="str">
            <v>GJ/千Nm3</v>
          </cell>
          <cell r="J29" t="str">
            <v>t-CO2/GJ</v>
          </cell>
          <cell r="K29" t="str">
            <v>千円/千Nm3</v>
          </cell>
        </row>
        <row r="30">
          <cell r="E30" t="str">
            <v>LNG</v>
          </cell>
          <cell r="F30">
            <v>0</v>
          </cell>
          <cell r="G30" t="str">
            <v>使用量</v>
          </cell>
          <cell r="H30" t="str">
            <v>t</v>
          </cell>
          <cell r="I30" t="str">
            <v>GJ/t</v>
          </cell>
          <cell r="J30" t="str">
            <v>t-CO2/GJ</v>
          </cell>
          <cell r="K30" t="str">
            <v>千円/t</v>
          </cell>
        </row>
        <row r="31">
          <cell r="E31" t="str">
            <v>都市ガス</v>
          </cell>
          <cell r="F31">
            <v>0</v>
          </cell>
          <cell r="G31" t="str">
            <v>使用量</v>
          </cell>
          <cell r="H31" t="str">
            <v>千Nm3</v>
          </cell>
          <cell r="I31" t="str">
            <v>GJ/千Nm3</v>
          </cell>
          <cell r="J31" t="str">
            <v>t-CO2/GJ</v>
          </cell>
          <cell r="K31" t="str">
            <v>千円/千Nm3</v>
          </cell>
        </row>
        <row r="32">
          <cell r="E32" t="str">
            <v>コールタール</v>
          </cell>
          <cell r="F32">
            <v>0</v>
          </cell>
          <cell r="G32" t="str">
            <v>使用量</v>
          </cell>
          <cell r="H32" t="str">
            <v>t</v>
          </cell>
          <cell r="I32" t="str">
            <v>GJ/t</v>
          </cell>
          <cell r="J32" t="str">
            <v>t-CO2/GJ</v>
          </cell>
          <cell r="K32" t="str">
            <v>千円/t</v>
          </cell>
        </row>
        <row r="33">
          <cell r="E33" t="str">
            <v>アスファルト</v>
          </cell>
          <cell r="F33">
            <v>0</v>
          </cell>
          <cell r="G33" t="str">
            <v>使用量</v>
          </cell>
          <cell r="H33" t="str">
            <v>t</v>
          </cell>
          <cell r="I33" t="str">
            <v>GJ/t</v>
          </cell>
          <cell r="J33" t="str">
            <v>t-CO2/GJ</v>
          </cell>
          <cell r="K33" t="str">
            <v>千円/t</v>
          </cell>
        </row>
        <row r="34">
          <cell r="E34" t="str">
            <v>NGL・コンデンセート</v>
          </cell>
          <cell r="F34">
            <v>0</v>
          </cell>
          <cell r="G34" t="str">
            <v>使用量</v>
          </cell>
          <cell r="H34" t="str">
            <v>kl</v>
          </cell>
          <cell r="I34" t="str">
            <v>GJ/kl</v>
          </cell>
          <cell r="J34" t="str">
            <v>t-CO2/GJ</v>
          </cell>
          <cell r="K34" t="str">
            <v>千円/kl</v>
          </cell>
        </row>
        <row r="35">
          <cell r="E35" t="str">
            <v>製油所ガス</v>
          </cell>
          <cell r="F35">
            <v>0</v>
          </cell>
          <cell r="G35" t="str">
            <v>使用量</v>
          </cell>
          <cell r="H35" t="str">
            <v>千Nm3</v>
          </cell>
          <cell r="I35" t="str">
            <v>GJ/千Nm3</v>
          </cell>
          <cell r="J35" t="str">
            <v>t-CO2/GJ</v>
          </cell>
          <cell r="K35" t="str">
            <v>千円/千Nm3</v>
          </cell>
        </row>
        <row r="36">
          <cell r="E36" t="str">
            <v>コークス炉ガス</v>
          </cell>
          <cell r="F36">
            <v>0</v>
          </cell>
          <cell r="G36" t="str">
            <v>使用量</v>
          </cell>
          <cell r="H36" t="str">
            <v>千Nm3</v>
          </cell>
          <cell r="I36" t="str">
            <v>GJ/千Nm3</v>
          </cell>
          <cell r="J36" t="str">
            <v>t-CO2/GJ</v>
          </cell>
          <cell r="K36" t="str">
            <v>千円/千Nm3</v>
          </cell>
        </row>
        <row r="37">
          <cell r="E37" t="str">
            <v>高炉ガス</v>
          </cell>
          <cell r="F37">
            <v>0</v>
          </cell>
          <cell r="G37" t="str">
            <v>使用量</v>
          </cell>
          <cell r="H37" t="str">
            <v>千Nm3</v>
          </cell>
          <cell r="I37" t="str">
            <v>GJ/千Nm3</v>
          </cell>
          <cell r="J37" t="str">
            <v>t-CO2/GJ</v>
          </cell>
          <cell r="K37" t="str">
            <v>千円/千Nm3</v>
          </cell>
        </row>
        <row r="38">
          <cell r="E38" t="str">
            <v>転炉ガス</v>
          </cell>
          <cell r="F38">
            <v>0</v>
          </cell>
          <cell r="G38" t="str">
            <v>使用量</v>
          </cell>
          <cell r="H38" t="str">
            <v>千Nm3</v>
          </cell>
          <cell r="I38" t="str">
            <v>GJ/千Nm3</v>
          </cell>
          <cell r="J38" t="str">
            <v>t-CO2/GJ</v>
          </cell>
          <cell r="K38" t="str">
            <v>千円/千Nm3</v>
          </cell>
        </row>
        <row r="39">
          <cell r="E39" t="str">
            <v>産業用蒸気</v>
          </cell>
          <cell r="F39">
            <v>1</v>
          </cell>
          <cell r="G39" t="str">
            <v>使用量</v>
          </cell>
          <cell r="H39" t="str">
            <v>GJ</v>
          </cell>
          <cell r="I39" t="str">
            <v>---</v>
          </cell>
          <cell r="J39" t="str">
            <v>t-CO2/GJ</v>
          </cell>
          <cell r="K39" t="str">
            <v>千円/GJ</v>
          </cell>
        </row>
        <row r="40">
          <cell r="E40" t="str">
            <v>温水</v>
          </cell>
          <cell r="F40">
            <v>1</v>
          </cell>
          <cell r="G40" t="str">
            <v>使用量</v>
          </cell>
          <cell r="H40" t="str">
            <v>GJ</v>
          </cell>
          <cell r="I40" t="str">
            <v>---</v>
          </cell>
          <cell r="J40" t="str">
            <v>t-CO2/GJ</v>
          </cell>
          <cell r="K40" t="str">
            <v>千円/GJ</v>
          </cell>
        </row>
        <row r="41">
          <cell r="E41" t="str">
            <v>冷水</v>
          </cell>
          <cell r="F41">
            <v>1</v>
          </cell>
          <cell r="G41" t="str">
            <v>使用量</v>
          </cell>
          <cell r="H41" t="str">
            <v>GJ</v>
          </cell>
          <cell r="I41" t="str">
            <v>---</v>
          </cell>
          <cell r="J41" t="str">
            <v>t-CO2/GJ</v>
          </cell>
          <cell r="K41" t="str">
            <v>千円/GJ</v>
          </cell>
        </row>
        <row r="42">
          <cell r="E42" t="str">
            <v>蒸気（産業用以外）</v>
          </cell>
          <cell r="F42">
            <v>1</v>
          </cell>
          <cell r="G42" t="str">
            <v>使用量</v>
          </cell>
          <cell r="H42" t="str">
            <v>GJ</v>
          </cell>
          <cell r="I42" t="str">
            <v>---</v>
          </cell>
          <cell r="J42" t="str">
            <v>t-CO2/GJ</v>
          </cell>
          <cell r="K42" t="str">
            <v>千円/GJ</v>
          </cell>
        </row>
        <row r="83">
          <cell r="E83" t="str">
            <v>系統電力①</v>
          </cell>
          <cell r="F83">
            <v>8.6400000000000001E-3</v>
          </cell>
          <cell r="G83" t="str">
            <v>GJ/kWh</v>
          </cell>
        </row>
        <row r="84">
          <cell r="E84" t="str">
            <v>系統電力②</v>
          </cell>
          <cell r="F84">
            <v>8.6400000000000001E-3</v>
          </cell>
          <cell r="G84" t="str">
            <v>GJ/kWh</v>
          </cell>
        </row>
        <row r="85">
          <cell r="E85" t="str">
            <v>系統電力切替先①</v>
          </cell>
          <cell r="F85">
            <v>8.6400000000000001E-3</v>
          </cell>
          <cell r="G85" t="str">
            <v>GJ/kWh</v>
          </cell>
        </row>
        <row r="86">
          <cell r="E86" t="str">
            <v>系統電力切替先②</v>
          </cell>
          <cell r="F86">
            <v>8.6400000000000001E-3</v>
          </cell>
          <cell r="G86" t="str">
            <v>GJ/kWh</v>
          </cell>
        </row>
        <row r="87">
          <cell r="E87" t="str">
            <v>産業用蒸気</v>
          </cell>
          <cell r="F87">
            <v>1.17</v>
          </cell>
          <cell r="G87" t="str">
            <v>GJ</v>
          </cell>
        </row>
        <row r="88">
          <cell r="E88" t="str">
            <v>温水</v>
          </cell>
          <cell r="F88">
            <v>1.19</v>
          </cell>
          <cell r="G88" t="str">
            <v>GJ</v>
          </cell>
        </row>
        <row r="89">
          <cell r="E89" t="str">
            <v>冷水</v>
          </cell>
          <cell r="F89">
            <v>1.19</v>
          </cell>
          <cell r="G89" t="str">
            <v>GJ</v>
          </cell>
        </row>
        <row r="90">
          <cell r="E90" t="str">
            <v>蒸気（産業用以外）</v>
          </cell>
          <cell r="F90">
            <v>1.19</v>
          </cell>
          <cell r="G90" t="str">
            <v>GJ</v>
          </cell>
        </row>
      </sheetData>
      <sheetData sheetId="52">
        <row r="7">
          <cell r="M7" t="str">
            <v>01 農業</v>
          </cell>
          <cell r="N7" t="str">
            <v>中分類1</v>
          </cell>
          <cell r="Q7" t="str">
            <v>010 管理，補助的経済活動を行う事業所（01農業）</v>
          </cell>
          <cell r="R7" t="str">
            <v>業務</v>
          </cell>
          <cell r="S7" t="str">
            <v>01 農業</v>
          </cell>
        </row>
        <row r="8">
          <cell r="M8" t="str">
            <v>02 林業</v>
          </cell>
          <cell r="N8" t="str">
            <v>中分類2</v>
          </cell>
          <cell r="Q8" t="str">
            <v>011 耕種農業</v>
          </cell>
          <cell r="R8" t="str">
            <v>産業</v>
          </cell>
          <cell r="S8" t="str">
            <v>01 農業</v>
          </cell>
        </row>
        <row r="9">
          <cell r="M9" t="str">
            <v>03 漁業（水産養殖業を除く）</v>
          </cell>
          <cell r="N9" t="str">
            <v>中分類3</v>
          </cell>
          <cell r="Q9" t="str">
            <v>012 畜産農業</v>
          </cell>
          <cell r="R9" t="str">
            <v>産業</v>
          </cell>
          <cell r="S9" t="str">
            <v>01 農業</v>
          </cell>
        </row>
        <row r="10">
          <cell r="M10" t="str">
            <v>04 水産養殖業</v>
          </cell>
          <cell r="N10" t="str">
            <v>中分類4</v>
          </cell>
          <cell r="Q10" t="str">
            <v>013 農業サービス業（園芸サービス業を除く）</v>
          </cell>
          <cell r="R10" t="str">
            <v>産業</v>
          </cell>
          <cell r="S10" t="str">
            <v>01 農業</v>
          </cell>
        </row>
        <row r="11">
          <cell r="M11" t="str">
            <v>05 鉱業，採石業，砂利採取業</v>
          </cell>
          <cell r="N11" t="str">
            <v>中分類5</v>
          </cell>
          <cell r="Q11" t="str">
            <v>014 園芸サービス業</v>
          </cell>
          <cell r="R11" t="str">
            <v>産業</v>
          </cell>
          <cell r="S11" t="str">
            <v>01 農業</v>
          </cell>
        </row>
        <row r="12">
          <cell r="M12" t="str">
            <v>06 総合工事業</v>
          </cell>
          <cell r="N12" t="str">
            <v>中分類6</v>
          </cell>
          <cell r="Q12" t="str">
            <v>020 管理，補助的経済活動を行う事業所（02林業）</v>
          </cell>
          <cell r="R12" t="str">
            <v>業務</v>
          </cell>
          <cell r="S12" t="str">
            <v>02 林業</v>
          </cell>
        </row>
        <row r="13">
          <cell r="M13" t="str">
            <v>07 職別工事業(設備工事業を除く)</v>
          </cell>
          <cell r="N13" t="str">
            <v>中分類7</v>
          </cell>
          <cell r="Q13" t="str">
            <v>021 育林業</v>
          </cell>
          <cell r="R13" t="str">
            <v>産業</v>
          </cell>
          <cell r="S13" t="str">
            <v>02 林業</v>
          </cell>
        </row>
        <row r="14">
          <cell r="M14" t="str">
            <v>08 設備工事業</v>
          </cell>
          <cell r="N14" t="str">
            <v>中分類8</v>
          </cell>
          <cell r="Q14" t="str">
            <v>022 素材生産業</v>
          </cell>
          <cell r="R14" t="str">
            <v>産業</v>
          </cell>
          <cell r="S14" t="str">
            <v>02 林業</v>
          </cell>
        </row>
        <row r="15">
          <cell r="M15" t="str">
            <v>09 食料品製造業</v>
          </cell>
          <cell r="N15" t="str">
            <v>中分類9</v>
          </cell>
          <cell r="Q15" t="str">
            <v>023 特用林産物生産業（きのこ類の栽培を除く）</v>
          </cell>
          <cell r="R15" t="str">
            <v>産業</v>
          </cell>
          <cell r="S15" t="str">
            <v>02 林業</v>
          </cell>
        </row>
        <row r="16">
          <cell r="M16" t="str">
            <v>10 飲料・たばこ・飼料製造業</v>
          </cell>
          <cell r="N16" t="str">
            <v>中分類10</v>
          </cell>
          <cell r="Q16" t="str">
            <v>024 林業サービス業</v>
          </cell>
          <cell r="R16" t="str">
            <v>産業</v>
          </cell>
          <cell r="S16" t="str">
            <v>02 林業</v>
          </cell>
        </row>
        <row r="17">
          <cell r="M17" t="str">
            <v>11 繊維工業</v>
          </cell>
          <cell r="N17" t="str">
            <v>中分類11</v>
          </cell>
          <cell r="Q17" t="str">
            <v>029 その他の林業</v>
          </cell>
          <cell r="R17" t="str">
            <v>産業</v>
          </cell>
          <cell r="S17" t="str">
            <v>02 林業</v>
          </cell>
        </row>
        <row r="18">
          <cell r="M18" t="str">
            <v>12 木材・木製品製造業（家具を除く）</v>
          </cell>
          <cell r="N18" t="str">
            <v>中分類12</v>
          </cell>
          <cell r="Q18" t="str">
            <v>030 管理，補助的経済活動を行う事業所（03漁業）</v>
          </cell>
          <cell r="R18" t="str">
            <v>業務</v>
          </cell>
          <cell r="S18" t="str">
            <v>03 漁業（水産養殖業を除く）</v>
          </cell>
        </row>
        <row r="19">
          <cell r="M19" t="str">
            <v>13 家具・装備品製造業</v>
          </cell>
          <cell r="N19" t="str">
            <v>中分類13</v>
          </cell>
          <cell r="Q19" t="str">
            <v>031 海面漁業</v>
          </cell>
          <cell r="R19" t="str">
            <v>産業</v>
          </cell>
          <cell r="S19" t="str">
            <v>03 漁業（水産養殖業を除く）</v>
          </cell>
        </row>
        <row r="20">
          <cell r="M20" t="str">
            <v>14 パルプ・紙・紙加工品製造業</v>
          </cell>
          <cell r="N20" t="str">
            <v>中分類14</v>
          </cell>
          <cell r="Q20" t="str">
            <v>032 内水面漁業</v>
          </cell>
          <cell r="R20" t="str">
            <v>産業</v>
          </cell>
          <cell r="S20" t="str">
            <v>03 漁業（水産養殖業を除く）</v>
          </cell>
        </row>
        <row r="21">
          <cell r="M21" t="str">
            <v>15 印刷・同関連業</v>
          </cell>
          <cell r="N21" t="str">
            <v>中分類15</v>
          </cell>
          <cell r="Q21" t="str">
            <v>040 管理，補助的経済活動を行う事業所（04水産養殖業）</v>
          </cell>
          <cell r="R21" t="str">
            <v>業務</v>
          </cell>
          <cell r="S21" t="str">
            <v>04 水産養殖業</v>
          </cell>
        </row>
        <row r="22">
          <cell r="M22" t="str">
            <v>16 化学工業</v>
          </cell>
          <cell r="N22" t="str">
            <v>中分類16</v>
          </cell>
          <cell r="Q22" t="str">
            <v>041 海面養殖業</v>
          </cell>
          <cell r="R22" t="str">
            <v>産業</v>
          </cell>
          <cell r="S22" t="str">
            <v>04 水産養殖業</v>
          </cell>
        </row>
        <row r="23">
          <cell r="M23" t="str">
            <v>17 石油製品・石炭製品製造業</v>
          </cell>
          <cell r="N23" t="str">
            <v>中分類17</v>
          </cell>
          <cell r="Q23" t="str">
            <v>042 内水面養殖業</v>
          </cell>
          <cell r="R23" t="str">
            <v>産業</v>
          </cell>
          <cell r="S23" t="str">
            <v>04 水産養殖業</v>
          </cell>
        </row>
        <row r="24">
          <cell r="M24" t="str">
            <v>18 プラスチック製品製造業（別掲を除く）</v>
          </cell>
          <cell r="N24" t="str">
            <v>中分類18</v>
          </cell>
          <cell r="Q24" t="str">
            <v>050 管理，補助的経済活動を行う事業所（05鉱業，採石業，砂利採取業）</v>
          </cell>
          <cell r="R24" t="str">
            <v>業務</v>
          </cell>
          <cell r="S24" t="str">
            <v>05 鉱業，採石業，砂利採取業</v>
          </cell>
        </row>
        <row r="25">
          <cell r="M25" t="str">
            <v>19 ゴム製品製造業</v>
          </cell>
          <cell r="N25" t="str">
            <v>中分類19</v>
          </cell>
          <cell r="Q25" t="str">
            <v>051 金属鉱業</v>
          </cell>
          <cell r="R25" t="str">
            <v>産業</v>
          </cell>
          <cell r="S25" t="str">
            <v>05 鉱業，採石業，砂利採取業</v>
          </cell>
        </row>
        <row r="26">
          <cell r="M26" t="str">
            <v>20 なめし革・同製品・毛皮製造業</v>
          </cell>
          <cell r="N26" t="str">
            <v>中分類20</v>
          </cell>
          <cell r="Q26" t="str">
            <v>052 石炭・亜炭鉱業</v>
          </cell>
          <cell r="R26" t="str">
            <v>産業</v>
          </cell>
          <cell r="S26" t="str">
            <v>05 鉱業，採石業，砂利採取業</v>
          </cell>
        </row>
        <row r="27">
          <cell r="M27" t="str">
            <v>21 窯業・土石製品製造業</v>
          </cell>
          <cell r="N27" t="str">
            <v>中分類21</v>
          </cell>
          <cell r="Q27" t="str">
            <v>053 原油・天然ガス鉱業</v>
          </cell>
          <cell r="R27" t="str">
            <v>産業</v>
          </cell>
          <cell r="S27" t="str">
            <v>05 鉱業，採石業，砂利採取業</v>
          </cell>
        </row>
        <row r="28">
          <cell r="M28" t="str">
            <v>22 鉄鋼業</v>
          </cell>
          <cell r="N28" t="str">
            <v>中分類22</v>
          </cell>
          <cell r="Q28" t="str">
            <v>054 採石業，砂・砂利・玉石採取業</v>
          </cell>
          <cell r="R28" t="str">
            <v>産業</v>
          </cell>
          <cell r="S28" t="str">
            <v>05 鉱業，採石業，砂利採取業</v>
          </cell>
        </row>
        <row r="29">
          <cell r="M29" t="str">
            <v>23 非鉄金属製造業</v>
          </cell>
          <cell r="N29" t="str">
            <v>中分類23</v>
          </cell>
          <cell r="Q29" t="str">
            <v>055 窯業原料用鉱物鉱業（耐火物・陶磁器・ガラス・セメント原料用に限る）</v>
          </cell>
          <cell r="R29" t="str">
            <v>産業</v>
          </cell>
          <cell r="S29" t="str">
            <v>05 鉱業，採石業，砂利採取業</v>
          </cell>
        </row>
        <row r="30">
          <cell r="M30" t="str">
            <v>24 金属製品製造業</v>
          </cell>
          <cell r="N30" t="str">
            <v>中分類24</v>
          </cell>
          <cell r="Q30" t="str">
            <v>059 その他の鉱業</v>
          </cell>
          <cell r="R30" t="str">
            <v>産業</v>
          </cell>
          <cell r="S30" t="str">
            <v>05 鉱業，採石業，砂利採取業</v>
          </cell>
        </row>
        <row r="31">
          <cell r="M31" t="str">
            <v>25 はん用機械器具製造業</v>
          </cell>
          <cell r="N31" t="str">
            <v>中分類25</v>
          </cell>
          <cell r="Q31" t="str">
            <v>060 管理，補助的経済活動を行う事業所（06総合工事業）</v>
          </cell>
          <cell r="R31" t="str">
            <v>業務</v>
          </cell>
          <cell r="S31" t="str">
            <v>06 総合工事業</v>
          </cell>
        </row>
        <row r="32">
          <cell r="M32" t="str">
            <v>26 生産用機械器具製造業</v>
          </cell>
          <cell r="N32" t="str">
            <v>中分類26</v>
          </cell>
          <cell r="Q32" t="str">
            <v>061 一般土木建築工事業</v>
          </cell>
          <cell r="R32" t="str">
            <v>産業</v>
          </cell>
          <cell r="S32" t="str">
            <v>06 総合工事業</v>
          </cell>
        </row>
        <row r="33">
          <cell r="M33" t="str">
            <v>27 業務用機械器具製造業</v>
          </cell>
          <cell r="N33" t="str">
            <v>中分類27</v>
          </cell>
          <cell r="Q33" t="str">
            <v>062 土木工事業（舗装工事業を除く）</v>
          </cell>
          <cell r="R33" t="str">
            <v>産業</v>
          </cell>
          <cell r="S33" t="str">
            <v>06 総合工事業</v>
          </cell>
        </row>
        <row r="34">
          <cell r="M34" t="str">
            <v>28 電子部品・デバイス・電子回路製造業</v>
          </cell>
          <cell r="N34" t="str">
            <v>中分類28</v>
          </cell>
          <cell r="Q34" t="str">
            <v>063 舗装工事業</v>
          </cell>
          <cell r="R34" t="str">
            <v>産業</v>
          </cell>
          <cell r="S34" t="str">
            <v>06 総合工事業</v>
          </cell>
        </row>
        <row r="35">
          <cell r="M35" t="str">
            <v>29 電気機械器具製造業</v>
          </cell>
          <cell r="N35" t="str">
            <v>中分類29</v>
          </cell>
          <cell r="Q35" t="str">
            <v>064 建築工事業（木造建築工事業を除く）</v>
          </cell>
          <cell r="R35" t="str">
            <v>産業</v>
          </cell>
          <cell r="S35" t="str">
            <v>06 総合工事業</v>
          </cell>
        </row>
        <row r="36">
          <cell r="M36" t="str">
            <v>30 情報通信機械器具製造業</v>
          </cell>
          <cell r="N36" t="str">
            <v>中分類30</v>
          </cell>
          <cell r="Q36" t="str">
            <v>065 木造建築工事業</v>
          </cell>
          <cell r="R36" t="str">
            <v>産業</v>
          </cell>
          <cell r="S36" t="str">
            <v>06 総合工事業</v>
          </cell>
        </row>
        <row r="37">
          <cell r="M37" t="str">
            <v>31 輸送用機械器具製造業</v>
          </cell>
          <cell r="N37" t="str">
            <v>中分類31</v>
          </cell>
          <cell r="Q37" t="str">
            <v>066 建築リフォーム工事業</v>
          </cell>
          <cell r="R37" t="str">
            <v>産業</v>
          </cell>
          <cell r="S37" t="str">
            <v>06 総合工事業</v>
          </cell>
        </row>
        <row r="38">
          <cell r="M38" t="str">
            <v>32 その他の製造業</v>
          </cell>
          <cell r="N38" t="str">
            <v>中分類32</v>
          </cell>
          <cell r="Q38" t="str">
            <v>070 管理，補助的経済活動を行う事業所（07職別工事業）</v>
          </cell>
          <cell r="R38" t="str">
            <v>業務</v>
          </cell>
          <cell r="S38" t="str">
            <v>07 職別工事業(設備工事業を除く)</v>
          </cell>
        </row>
        <row r="39">
          <cell r="M39" t="str">
            <v>33 電気業</v>
          </cell>
          <cell r="N39" t="str">
            <v>中分類33</v>
          </cell>
          <cell r="Q39" t="str">
            <v>071 大工工事業</v>
          </cell>
          <cell r="R39" t="str">
            <v>産業</v>
          </cell>
          <cell r="S39" t="str">
            <v>07 職別工事業(設備工事業を除く)</v>
          </cell>
        </row>
        <row r="40">
          <cell r="M40" t="str">
            <v>34 ガス業</v>
          </cell>
          <cell r="N40" t="str">
            <v>中分類34</v>
          </cell>
          <cell r="Q40" t="str">
            <v>072 とび・土工・コンクリート工事業</v>
          </cell>
          <cell r="R40" t="str">
            <v>産業</v>
          </cell>
          <cell r="S40" t="str">
            <v>07 職別工事業(設備工事業を除く)</v>
          </cell>
        </row>
        <row r="41">
          <cell r="M41" t="str">
            <v>35 熱供給業</v>
          </cell>
          <cell r="N41" t="str">
            <v>中分類35</v>
          </cell>
          <cell r="Q41" t="str">
            <v>073 鉄骨・鉄筋工事業</v>
          </cell>
          <cell r="R41" t="str">
            <v>産業</v>
          </cell>
          <cell r="S41" t="str">
            <v>07 職別工事業(設備工事業を除く)</v>
          </cell>
        </row>
        <row r="42">
          <cell r="M42" t="str">
            <v>36 水道業</v>
          </cell>
          <cell r="N42" t="str">
            <v>中分類36</v>
          </cell>
          <cell r="Q42" t="str">
            <v>074 石工・れんが・タイル・ブロック工事業</v>
          </cell>
          <cell r="R42" t="str">
            <v>産業</v>
          </cell>
          <cell r="S42" t="str">
            <v>07 職別工事業(設備工事業を除く)</v>
          </cell>
        </row>
        <row r="43">
          <cell r="M43" t="str">
            <v>37 通信業</v>
          </cell>
          <cell r="N43" t="str">
            <v>中分類37</v>
          </cell>
          <cell r="Q43" t="str">
            <v>075 左官工事業</v>
          </cell>
          <cell r="R43" t="str">
            <v>産業</v>
          </cell>
          <cell r="S43" t="str">
            <v>07 職別工事業(設備工事業を除く)</v>
          </cell>
        </row>
        <row r="44">
          <cell r="M44" t="str">
            <v>38 放送業</v>
          </cell>
          <cell r="N44" t="str">
            <v>中分類38</v>
          </cell>
          <cell r="Q44" t="str">
            <v>076 板金・金物工事業</v>
          </cell>
          <cell r="R44" t="str">
            <v>産業</v>
          </cell>
          <cell r="S44" t="str">
            <v>07 職別工事業(設備工事業を除く)</v>
          </cell>
        </row>
        <row r="45">
          <cell r="M45" t="str">
            <v>39 情報サービス業</v>
          </cell>
          <cell r="N45" t="str">
            <v>中分類39</v>
          </cell>
          <cell r="Q45" t="str">
            <v>077 塗装工事業</v>
          </cell>
          <cell r="R45" t="str">
            <v>産業</v>
          </cell>
          <cell r="S45" t="str">
            <v>07 職別工事業(設備工事業を除く)</v>
          </cell>
        </row>
        <row r="46">
          <cell r="M46" t="str">
            <v>40 インターネット附随サービス業</v>
          </cell>
          <cell r="N46" t="str">
            <v>中分類40</v>
          </cell>
          <cell r="Q46" t="str">
            <v>078 床・内装工事業</v>
          </cell>
          <cell r="R46" t="str">
            <v>産業</v>
          </cell>
          <cell r="S46" t="str">
            <v>07 職別工事業(設備工事業を除く)</v>
          </cell>
        </row>
        <row r="47">
          <cell r="M47" t="str">
            <v>41 映像・音声・文字情報制作業</v>
          </cell>
          <cell r="N47" t="str">
            <v>中分類41</v>
          </cell>
          <cell r="Q47" t="str">
            <v>079 その他の職別工事業</v>
          </cell>
          <cell r="R47" t="str">
            <v>産業</v>
          </cell>
          <cell r="S47" t="str">
            <v>07 職別工事業(設備工事業を除く)</v>
          </cell>
        </row>
        <row r="48">
          <cell r="M48" t="str">
            <v>42 鉄道業</v>
          </cell>
          <cell r="N48" t="str">
            <v>中分類42</v>
          </cell>
          <cell r="Q48" t="str">
            <v>080 管理，補助的経済活動を行う事業所（08設備工事業）</v>
          </cell>
          <cell r="R48" t="str">
            <v>業務</v>
          </cell>
          <cell r="S48" t="str">
            <v>08 設備工事業</v>
          </cell>
        </row>
        <row r="49">
          <cell r="M49" t="str">
            <v>43 道路旅客運送業</v>
          </cell>
          <cell r="N49" t="str">
            <v>中分類43</v>
          </cell>
          <cell r="Q49" t="str">
            <v>081 電気工事業</v>
          </cell>
          <cell r="R49" t="str">
            <v>産業</v>
          </cell>
          <cell r="S49" t="str">
            <v>08 設備工事業</v>
          </cell>
        </row>
        <row r="50">
          <cell r="M50" t="str">
            <v>44 道路貨物運送業</v>
          </cell>
          <cell r="N50" t="str">
            <v>中分類44</v>
          </cell>
          <cell r="Q50" t="str">
            <v>082 電気通信・信号装置工事業</v>
          </cell>
          <cell r="R50" t="str">
            <v>産業</v>
          </cell>
          <cell r="S50" t="str">
            <v>08 設備工事業</v>
          </cell>
        </row>
        <row r="51">
          <cell r="M51" t="str">
            <v>45 水運業</v>
          </cell>
          <cell r="N51" t="str">
            <v>中分類45</v>
          </cell>
          <cell r="Q51" t="str">
            <v>083 管工事業（さく井工事業を除く）</v>
          </cell>
          <cell r="R51" t="str">
            <v>産業</v>
          </cell>
          <cell r="S51" t="str">
            <v>08 設備工事業</v>
          </cell>
        </row>
        <row r="52">
          <cell r="M52" t="str">
            <v>46 航空運輸業</v>
          </cell>
          <cell r="N52" t="str">
            <v>中分類46</v>
          </cell>
          <cell r="Q52" t="str">
            <v>084 機械器具設置工事業</v>
          </cell>
          <cell r="R52" t="str">
            <v>産業</v>
          </cell>
          <cell r="S52" t="str">
            <v>08 設備工事業</v>
          </cell>
        </row>
        <row r="53">
          <cell r="M53" t="str">
            <v>47 倉庫業</v>
          </cell>
          <cell r="N53" t="str">
            <v>中分類47</v>
          </cell>
          <cell r="Q53" t="str">
            <v>089 その他の設備工事業</v>
          </cell>
          <cell r="R53" t="str">
            <v>産業</v>
          </cell>
          <cell r="S53" t="str">
            <v>08 設備工事業</v>
          </cell>
        </row>
        <row r="54">
          <cell r="M54" t="str">
            <v>48 運輸に附帯するサービス業</v>
          </cell>
          <cell r="N54" t="str">
            <v>中分類48</v>
          </cell>
          <cell r="Q54" t="str">
            <v>090 管理，補助的経済活動を行う事業所（09食料品製造業）</v>
          </cell>
          <cell r="R54" t="str">
            <v>業務</v>
          </cell>
          <cell r="S54" t="str">
            <v>09 食料品製造業</v>
          </cell>
        </row>
        <row r="55">
          <cell r="M55" t="str">
            <v>49 郵便業（信書便事業を含む）</v>
          </cell>
          <cell r="N55" t="str">
            <v>中分類49</v>
          </cell>
          <cell r="Q55" t="str">
            <v>091 畜産食料品製造業</v>
          </cell>
          <cell r="R55" t="str">
            <v>産業</v>
          </cell>
          <cell r="S55" t="str">
            <v>09 食料品製造業</v>
          </cell>
        </row>
        <row r="56">
          <cell r="M56" t="str">
            <v>50 各種商品卸売業</v>
          </cell>
          <cell r="N56" t="str">
            <v>中分類50</v>
          </cell>
          <cell r="Q56" t="str">
            <v>092 水産食料品製造業</v>
          </cell>
          <cell r="R56" t="str">
            <v>産業</v>
          </cell>
          <cell r="S56" t="str">
            <v>09 食料品製造業</v>
          </cell>
        </row>
        <row r="57">
          <cell r="M57" t="str">
            <v>51 繊維・衣服等卸売業</v>
          </cell>
          <cell r="N57" t="str">
            <v>中分類51</v>
          </cell>
          <cell r="Q57" t="str">
            <v>093 野菜缶詰・果実缶詰・農産保存食料品製造業</v>
          </cell>
          <cell r="R57" t="str">
            <v>産業</v>
          </cell>
          <cell r="S57" t="str">
            <v>09 食料品製造業</v>
          </cell>
        </row>
        <row r="58">
          <cell r="M58" t="str">
            <v>52 飲食料品卸売業</v>
          </cell>
          <cell r="N58" t="str">
            <v>中分類52</v>
          </cell>
          <cell r="Q58" t="str">
            <v>094 調味料製造業</v>
          </cell>
          <cell r="R58" t="str">
            <v>産業</v>
          </cell>
          <cell r="S58" t="str">
            <v>09 食料品製造業</v>
          </cell>
        </row>
        <row r="59">
          <cell r="M59" t="str">
            <v>53 建築材料，鉱物・金属材料等卸売業</v>
          </cell>
          <cell r="N59" t="str">
            <v>中分類53</v>
          </cell>
          <cell r="Q59" t="str">
            <v>095 糖類製造業</v>
          </cell>
          <cell r="R59" t="str">
            <v>産業</v>
          </cell>
          <cell r="S59" t="str">
            <v>09 食料品製造業</v>
          </cell>
        </row>
        <row r="60">
          <cell r="M60" t="str">
            <v>54 機械器具卸売業</v>
          </cell>
          <cell r="N60" t="str">
            <v>中分類54</v>
          </cell>
          <cell r="Q60" t="str">
            <v>096 精穀・製粉業</v>
          </cell>
          <cell r="R60" t="str">
            <v>産業</v>
          </cell>
          <cell r="S60" t="str">
            <v>09 食料品製造業</v>
          </cell>
        </row>
        <row r="61">
          <cell r="M61" t="str">
            <v>55 その他の卸売業</v>
          </cell>
          <cell r="N61" t="str">
            <v>中分類55</v>
          </cell>
          <cell r="Q61" t="str">
            <v>097 パン・菓子製造業</v>
          </cell>
          <cell r="R61" t="str">
            <v>産業</v>
          </cell>
          <cell r="S61" t="str">
            <v>09 食料品製造業</v>
          </cell>
        </row>
        <row r="62">
          <cell r="M62" t="str">
            <v>56 各種商品小売業</v>
          </cell>
          <cell r="N62" t="str">
            <v>中分類56</v>
          </cell>
          <cell r="Q62" t="str">
            <v>098 動植物油脂製造業</v>
          </cell>
          <cell r="R62" t="str">
            <v>産業</v>
          </cell>
          <cell r="S62" t="str">
            <v>09 食料品製造業</v>
          </cell>
        </row>
        <row r="63">
          <cell r="M63" t="str">
            <v>57 織物・衣服・身の回り品小売業</v>
          </cell>
          <cell r="N63" t="str">
            <v>中分類57</v>
          </cell>
          <cell r="Q63" t="str">
            <v>099 その他の食料品製造業</v>
          </cell>
          <cell r="R63" t="str">
            <v>産業</v>
          </cell>
          <cell r="S63" t="str">
            <v>09 食料品製造業</v>
          </cell>
        </row>
        <row r="64">
          <cell r="M64" t="str">
            <v>58 飲食料品小売業</v>
          </cell>
          <cell r="N64" t="str">
            <v>中分類58</v>
          </cell>
          <cell r="Q64" t="str">
            <v>100 管理，補助的経済活動を行う事業所（10飲料・たばこ・飼料製造業）</v>
          </cell>
          <cell r="R64" t="str">
            <v>業務</v>
          </cell>
          <cell r="S64" t="str">
            <v>10 飲料・たばこ・飼料製造業</v>
          </cell>
        </row>
        <row r="65">
          <cell r="M65" t="str">
            <v>59 機械器具小売業</v>
          </cell>
          <cell r="N65" t="str">
            <v>中分類59</v>
          </cell>
          <cell r="Q65" t="str">
            <v>101 清涼飲料製造業</v>
          </cell>
          <cell r="R65" t="str">
            <v>産業</v>
          </cell>
          <cell r="S65" t="str">
            <v>10 飲料・たばこ・飼料製造業</v>
          </cell>
        </row>
        <row r="66">
          <cell r="M66" t="str">
            <v>60 その他の小売業</v>
          </cell>
          <cell r="N66" t="str">
            <v>中分類60</v>
          </cell>
          <cell r="Q66" t="str">
            <v>102 酒類製造業</v>
          </cell>
          <cell r="R66" t="str">
            <v>産業</v>
          </cell>
          <cell r="S66" t="str">
            <v>10 飲料・たばこ・飼料製造業</v>
          </cell>
        </row>
        <row r="67">
          <cell r="M67" t="str">
            <v>61 無店舗小売業</v>
          </cell>
          <cell r="N67" t="str">
            <v>中分類61</v>
          </cell>
          <cell r="Q67" t="str">
            <v>103 茶・コーヒー製造業（清涼飲料を除く）</v>
          </cell>
          <cell r="R67" t="str">
            <v>産業</v>
          </cell>
          <cell r="S67" t="str">
            <v>10 飲料・たばこ・飼料製造業</v>
          </cell>
        </row>
        <row r="68">
          <cell r="M68" t="str">
            <v>62 銀行業</v>
          </cell>
          <cell r="N68" t="str">
            <v>中分類62</v>
          </cell>
          <cell r="Q68" t="str">
            <v>104 製氷業</v>
          </cell>
          <cell r="R68" t="str">
            <v>産業</v>
          </cell>
          <cell r="S68" t="str">
            <v>10 飲料・たばこ・飼料製造業</v>
          </cell>
        </row>
        <row r="69">
          <cell r="M69" t="str">
            <v>63 協同組織金融業</v>
          </cell>
          <cell r="N69" t="str">
            <v>中分類63</v>
          </cell>
          <cell r="Q69" t="str">
            <v>105 たばこ製造業</v>
          </cell>
          <cell r="R69" t="str">
            <v>産業</v>
          </cell>
          <cell r="S69" t="str">
            <v>10 飲料・たばこ・飼料製造業</v>
          </cell>
        </row>
        <row r="70">
          <cell r="M70" t="str">
            <v>64 貸金業，クレジットカード業等非預金信用機関</v>
          </cell>
          <cell r="N70" t="str">
            <v>中分類64</v>
          </cell>
          <cell r="Q70" t="str">
            <v>106 飼料・有機質肥料製造業</v>
          </cell>
          <cell r="R70" t="str">
            <v>産業</v>
          </cell>
          <cell r="S70" t="str">
            <v>10 飲料・たばこ・飼料製造業</v>
          </cell>
        </row>
        <row r="71">
          <cell r="M71" t="str">
            <v>65 金融商品取引業，商品先物取引業</v>
          </cell>
          <cell r="N71" t="str">
            <v>中分類65</v>
          </cell>
          <cell r="Q71" t="str">
            <v>110 管理，補助的経済活動を行う事業所（11繊維工業）</v>
          </cell>
          <cell r="R71" t="str">
            <v>業務</v>
          </cell>
          <cell r="S71" t="str">
            <v>11 繊維工業</v>
          </cell>
        </row>
        <row r="72">
          <cell r="M72" t="str">
            <v>66 補助的金融業等</v>
          </cell>
          <cell r="N72" t="str">
            <v>中分類66</v>
          </cell>
          <cell r="Q72" t="str">
            <v>111 製糸業，紡績業，化学繊維・ねん糸等製造業</v>
          </cell>
          <cell r="R72" t="str">
            <v>産業</v>
          </cell>
          <cell r="S72" t="str">
            <v>11 繊維工業</v>
          </cell>
        </row>
        <row r="73">
          <cell r="M73" t="str">
            <v>67 保険業（保険媒介代理業，保険サービス業を含む）</v>
          </cell>
          <cell r="N73" t="str">
            <v>中分類67</v>
          </cell>
          <cell r="Q73" t="str">
            <v>112 織物業</v>
          </cell>
          <cell r="R73" t="str">
            <v>産業</v>
          </cell>
          <cell r="S73" t="str">
            <v>11 繊維工業</v>
          </cell>
        </row>
        <row r="74">
          <cell r="M74" t="str">
            <v>68 不動産取引業</v>
          </cell>
          <cell r="N74" t="str">
            <v>中分類68</v>
          </cell>
          <cell r="Q74" t="str">
            <v>113 ニット生地製造業</v>
          </cell>
          <cell r="R74" t="str">
            <v>産業</v>
          </cell>
          <cell r="S74" t="str">
            <v>11 繊維工業</v>
          </cell>
        </row>
        <row r="75">
          <cell r="M75" t="str">
            <v>69 不動産賃貸業・管理業</v>
          </cell>
          <cell r="N75" t="str">
            <v>中分類69</v>
          </cell>
          <cell r="Q75" t="str">
            <v>114 染色整理業</v>
          </cell>
          <cell r="R75" t="str">
            <v>産業</v>
          </cell>
          <cell r="S75" t="str">
            <v>11 繊維工業</v>
          </cell>
        </row>
        <row r="76">
          <cell r="M76" t="str">
            <v>70 物品賃貸業</v>
          </cell>
          <cell r="N76" t="str">
            <v>中分類70</v>
          </cell>
          <cell r="Q76" t="str">
            <v>115 綱・網・レース・繊維粗製品製造業</v>
          </cell>
          <cell r="R76" t="str">
            <v>産業</v>
          </cell>
          <cell r="S76" t="str">
            <v>11 繊維工業</v>
          </cell>
        </row>
        <row r="77">
          <cell r="M77" t="str">
            <v>71 学術・開発研究機関</v>
          </cell>
          <cell r="N77" t="str">
            <v>中分類71</v>
          </cell>
          <cell r="Q77" t="str">
            <v>116 外衣・シャツ製造業（和式を除く）</v>
          </cell>
          <cell r="R77" t="str">
            <v>産業</v>
          </cell>
          <cell r="S77" t="str">
            <v>11 繊維工業</v>
          </cell>
        </row>
        <row r="78">
          <cell r="M78" t="str">
            <v>72 専門サービス業（他に分類されないもの）</v>
          </cell>
          <cell r="N78" t="str">
            <v>中分類72</v>
          </cell>
          <cell r="Q78" t="str">
            <v>117 下着類製造業</v>
          </cell>
          <cell r="R78" t="str">
            <v>産業</v>
          </cell>
          <cell r="S78" t="str">
            <v>11 繊維工業</v>
          </cell>
        </row>
        <row r="79">
          <cell r="M79" t="str">
            <v>73 広告業</v>
          </cell>
          <cell r="N79" t="str">
            <v>中分類73</v>
          </cell>
          <cell r="Q79" t="str">
            <v>118 和装製品・その他の衣服・繊維製身の回り品製造業</v>
          </cell>
          <cell r="R79" t="str">
            <v>産業</v>
          </cell>
          <cell r="S79" t="str">
            <v>11 繊維工業</v>
          </cell>
        </row>
        <row r="80">
          <cell r="M80" t="str">
            <v>74 技術サービス業（他に分類されないもの）</v>
          </cell>
          <cell r="N80" t="str">
            <v>中分類74</v>
          </cell>
          <cell r="Q80" t="str">
            <v>119 その他の繊維製品製造業</v>
          </cell>
          <cell r="R80" t="str">
            <v>産業</v>
          </cell>
          <cell r="S80" t="str">
            <v>11 繊維工業</v>
          </cell>
        </row>
        <row r="81">
          <cell r="M81" t="str">
            <v>75 宿泊業</v>
          </cell>
          <cell r="N81" t="str">
            <v>中分類75</v>
          </cell>
          <cell r="Q81" t="str">
            <v>120 管理，補助的経済活動を行う事業所（12木材・木製品製造業）</v>
          </cell>
          <cell r="R81" t="str">
            <v>業務</v>
          </cell>
          <cell r="S81" t="str">
            <v>12 木材・木製品製造業（家具を除く）</v>
          </cell>
        </row>
        <row r="82">
          <cell r="M82" t="str">
            <v>76 飲食店</v>
          </cell>
          <cell r="N82" t="str">
            <v>中分類76</v>
          </cell>
          <cell r="Q82" t="str">
            <v>121 製材業，木製品製造業</v>
          </cell>
          <cell r="R82" t="str">
            <v>産業</v>
          </cell>
          <cell r="S82" t="str">
            <v>12 木材・木製品製造業（家具を除く）</v>
          </cell>
        </row>
        <row r="83">
          <cell r="M83" t="str">
            <v>77 持ち帰り・配達飲食サービス業</v>
          </cell>
          <cell r="N83" t="str">
            <v>中分類77</v>
          </cell>
          <cell r="Q83" t="str">
            <v>122 造作材・合板・建築用組立材料製造業</v>
          </cell>
          <cell r="R83" t="str">
            <v>産業</v>
          </cell>
          <cell r="S83" t="str">
            <v>12 木材・木製品製造業（家具を除く）</v>
          </cell>
        </row>
        <row r="84">
          <cell r="M84" t="str">
            <v>78 洗濯・理容・美容・浴場業</v>
          </cell>
          <cell r="N84" t="str">
            <v>中分類78</v>
          </cell>
          <cell r="Q84" t="str">
            <v>123 木製容器製造業（竹，とうを含む）</v>
          </cell>
          <cell r="R84" t="str">
            <v>産業</v>
          </cell>
          <cell r="S84" t="str">
            <v>12 木材・木製品製造業（家具を除く）</v>
          </cell>
        </row>
        <row r="85">
          <cell r="M85" t="str">
            <v>79 その他の生活関連サービス業</v>
          </cell>
          <cell r="N85" t="str">
            <v>中分類79</v>
          </cell>
          <cell r="Q85" t="str">
            <v>129 その他の木製品製造業（竹，とうを含む）</v>
          </cell>
          <cell r="R85" t="str">
            <v>産業</v>
          </cell>
          <cell r="S85" t="str">
            <v>12 木材・木製品製造業（家具を除く）</v>
          </cell>
        </row>
        <row r="86">
          <cell r="M86" t="str">
            <v>80 娯楽業</v>
          </cell>
          <cell r="N86" t="str">
            <v>中分類80</v>
          </cell>
          <cell r="Q86" t="str">
            <v>130 管理，補助的経済活動を行う事業所（13家具・装備品製造業）</v>
          </cell>
          <cell r="R86" t="str">
            <v>業務</v>
          </cell>
          <cell r="S86" t="str">
            <v>13 家具・装備品製造業</v>
          </cell>
        </row>
        <row r="87">
          <cell r="M87" t="str">
            <v>81 学校教育</v>
          </cell>
          <cell r="N87" t="str">
            <v>中分類81</v>
          </cell>
          <cell r="Q87" t="str">
            <v>131 家具製造業</v>
          </cell>
          <cell r="R87" t="str">
            <v>産業</v>
          </cell>
          <cell r="S87" t="str">
            <v>13 家具・装備品製造業</v>
          </cell>
        </row>
        <row r="88">
          <cell r="M88" t="str">
            <v>82 その他の教育，学習支援業</v>
          </cell>
          <cell r="N88" t="str">
            <v>中分類82</v>
          </cell>
          <cell r="Q88" t="str">
            <v>132 宗教用具製造業</v>
          </cell>
          <cell r="R88" t="str">
            <v>産業</v>
          </cell>
          <cell r="S88" t="str">
            <v>13 家具・装備品製造業</v>
          </cell>
        </row>
        <row r="89">
          <cell r="M89" t="str">
            <v>83 医療業</v>
          </cell>
          <cell r="N89" t="str">
            <v>中分類83</v>
          </cell>
          <cell r="Q89" t="str">
            <v>133 建具製造業</v>
          </cell>
          <cell r="R89" t="str">
            <v>産業</v>
          </cell>
          <cell r="S89" t="str">
            <v>13 家具・装備品製造業</v>
          </cell>
        </row>
        <row r="90">
          <cell r="M90" t="str">
            <v>84 保健衛生</v>
          </cell>
          <cell r="N90" t="str">
            <v>中分類84</v>
          </cell>
          <cell r="Q90" t="str">
            <v>139 その他の家具・装備品製造業</v>
          </cell>
          <cell r="R90" t="str">
            <v>産業</v>
          </cell>
          <cell r="S90" t="str">
            <v>13 家具・装備品製造業</v>
          </cell>
        </row>
        <row r="91">
          <cell r="M91" t="str">
            <v>85 社会保険・社会福祉・介護事業</v>
          </cell>
          <cell r="N91" t="str">
            <v>中分類85</v>
          </cell>
          <cell r="Q91" t="str">
            <v>140 管理，補助的経済活動を行う事業所（14パルプ・紙・紙加工品製造業）</v>
          </cell>
          <cell r="R91" t="str">
            <v>業務</v>
          </cell>
          <cell r="S91" t="str">
            <v>14 パルプ・紙・紙加工品製造業</v>
          </cell>
        </row>
        <row r="92">
          <cell r="M92" t="str">
            <v>86 郵便局</v>
          </cell>
          <cell r="N92" t="str">
            <v>中分類86</v>
          </cell>
          <cell r="Q92" t="str">
            <v>141 パルプ製造業</v>
          </cell>
          <cell r="R92" t="str">
            <v>産業</v>
          </cell>
          <cell r="S92" t="str">
            <v>14 パルプ・紙・紙加工品製造業</v>
          </cell>
        </row>
        <row r="93">
          <cell r="M93" t="str">
            <v>87 協同組合（他に分類されないもの）</v>
          </cell>
          <cell r="N93" t="str">
            <v>中分類87</v>
          </cell>
          <cell r="Q93" t="str">
            <v>142 紙製造業</v>
          </cell>
          <cell r="R93" t="str">
            <v>産業</v>
          </cell>
          <cell r="S93" t="str">
            <v>14 パルプ・紙・紙加工品製造業</v>
          </cell>
        </row>
        <row r="94">
          <cell r="M94" t="str">
            <v>88 廃棄物処理業</v>
          </cell>
          <cell r="N94" t="str">
            <v>中分類88</v>
          </cell>
          <cell r="Q94" t="str">
            <v>143 加工紙製造業</v>
          </cell>
          <cell r="R94" t="str">
            <v>産業</v>
          </cell>
          <cell r="S94" t="str">
            <v>14 パルプ・紙・紙加工品製造業</v>
          </cell>
        </row>
        <row r="95">
          <cell r="M95" t="str">
            <v>89 自動車整備業</v>
          </cell>
          <cell r="N95" t="str">
            <v>中分類89</v>
          </cell>
          <cell r="Q95" t="str">
            <v>144 紙製品製造業</v>
          </cell>
          <cell r="R95" t="str">
            <v>産業</v>
          </cell>
          <cell r="S95" t="str">
            <v>14 パルプ・紙・紙加工品製造業</v>
          </cell>
        </row>
        <row r="96">
          <cell r="M96" t="str">
            <v>90 機械等修理業（別掲を除く）</v>
          </cell>
          <cell r="N96" t="str">
            <v>中分類90</v>
          </cell>
          <cell r="Q96" t="str">
            <v>145 紙製容器製造業</v>
          </cell>
          <cell r="R96" t="str">
            <v>産業</v>
          </cell>
          <cell r="S96" t="str">
            <v>14 パルプ・紙・紙加工品製造業</v>
          </cell>
        </row>
        <row r="97">
          <cell r="M97" t="str">
            <v>91 職業紹介・労働者派遣業</v>
          </cell>
          <cell r="N97" t="str">
            <v>中分類91</v>
          </cell>
          <cell r="Q97" t="str">
            <v>149 その他のパルプ・紙・紙加工品製造業</v>
          </cell>
          <cell r="R97" t="str">
            <v>産業</v>
          </cell>
          <cell r="S97" t="str">
            <v>14 パルプ・紙・紙加工品製造業</v>
          </cell>
        </row>
        <row r="98">
          <cell r="M98" t="str">
            <v>92 その他の事業サービス業</v>
          </cell>
          <cell r="N98" t="str">
            <v>中分類92</v>
          </cell>
          <cell r="Q98" t="str">
            <v>150 管理，補助的経済活動を行う事業所（15印刷・同関連業）</v>
          </cell>
          <cell r="R98" t="str">
            <v>業務</v>
          </cell>
          <cell r="S98" t="str">
            <v>15 印刷・同関連業</v>
          </cell>
        </row>
        <row r="99">
          <cell r="M99" t="str">
            <v>93 政治・経済・文化団体</v>
          </cell>
          <cell r="N99" t="str">
            <v>中分類93</v>
          </cell>
          <cell r="Q99" t="str">
            <v>151 印刷業</v>
          </cell>
          <cell r="R99" t="str">
            <v>産業</v>
          </cell>
          <cell r="S99" t="str">
            <v>15 印刷・同関連業</v>
          </cell>
        </row>
        <row r="100">
          <cell r="M100" t="str">
            <v>94 宗教</v>
          </cell>
          <cell r="N100" t="str">
            <v>中分類94</v>
          </cell>
          <cell r="Q100" t="str">
            <v>152 製版業</v>
          </cell>
          <cell r="R100" t="str">
            <v>産業</v>
          </cell>
          <cell r="S100" t="str">
            <v>15 印刷・同関連業</v>
          </cell>
        </row>
        <row r="101">
          <cell r="M101" t="str">
            <v>95 その他のサービス業</v>
          </cell>
          <cell r="N101" t="str">
            <v>中分類95</v>
          </cell>
          <cell r="Q101" t="str">
            <v>153 製本業，印刷物加工業</v>
          </cell>
          <cell r="R101" t="str">
            <v>産業</v>
          </cell>
          <cell r="S101" t="str">
            <v>15 印刷・同関連業</v>
          </cell>
        </row>
        <row r="102">
          <cell r="M102" t="str">
            <v>96 外国公務</v>
          </cell>
          <cell r="N102" t="str">
            <v>中分類96</v>
          </cell>
          <cell r="Q102" t="str">
            <v>159 印刷関連サービス業</v>
          </cell>
          <cell r="R102" t="str">
            <v>産業</v>
          </cell>
          <cell r="S102" t="str">
            <v>15 印刷・同関連業</v>
          </cell>
        </row>
        <row r="103">
          <cell r="M103" t="str">
            <v>97 国家公務</v>
          </cell>
          <cell r="N103" t="str">
            <v>中分類97</v>
          </cell>
          <cell r="Q103" t="str">
            <v>160 管理，補助的経済活動を行う事業所（16化学工業）</v>
          </cell>
          <cell r="R103" t="str">
            <v>業務</v>
          </cell>
          <cell r="S103" t="str">
            <v>16 化学工業</v>
          </cell>
        </row>
        <row r="104">
          <cell r="M104" t="str">
            <v>98 地方公務</v>
          </cell>
          <cell r="N104" t="str">
            <v>中分類98</v>
          </cell>
          <cell r="Q104" t="str">
            <v>161 化学肥料製造業</v>
          </cell>
          <cell r="R104" t="str">
            <v>産業</v>
          </cell>
          <cell r="S104" t="str">
            <v>16 化学工業</v>
          </cell>
        </row>
        <row r="105">
          <cell r="M105" t="str">
            <v>99 分類不能の産業</v>
          </cell>
          <cell r="N105" t="str">
            <v>中分類99</v>
          </cell>
          <cell r="Q105" t="str">
            <v>162 無機化学工業製品製造業</v>
          </cell>
          <cell r="R105" t="str">
            <v>産業</v>
          </cell>
          <cell r="S105" t="str">
            <v>16 化学工業</v>
          </cell>
        </row>
        <row r="106">
          <cell r="Q106" t="str">
            <v>163 有機化学工業製品製造業</v>
          </cell>
          <cell r="R106" t="str">
            <v>産業</v>
          </cell>
          <cell r="S106" t="str">
            <v>16 化学工業</v>
          </cell>
        </row>
        <row r="107">
          <cell r="Q107" t="str">
            <v>164 油脂加工製品・石けん・合成洗剤・界面活性剤・塗料製造業</v>
          </cell>
          <cell r="R107" t="str">
            <v>産業</v>
          </cell>
          <cell r="S107" t="str">
            <v>16 化学工業</v>
          </cell>
        </row>
        <row r="108">
          <cell r="Q108" t="str">
            <v>165 医薬品製造業</v>
          </cell>
          <cell r="R108" t="str">
            <v>産業</v>
          </cell>
          <cell r="S108" t="str">
            <v>16 化学工業</v>
          </cell>
        </row>
        <row r="109">
          <cell r="Q109" t="str">
            <v>166 化粧品・歯磨・その他の化粧用調整品製造業</v>
          </cell>
          <cell r="R109" t="str">
            <v>産業</v>
          </cell>
          <cell r="S109" t="str">
            <v>16 化学工業</v>
          </cell>
        </row>
        <row r="110">
          <cell r="Q110" t="str">
            <v>169 その他の化学工業</v>
          </cell>
          <cell r="R110" t="str">
            <v>産業</v>
          </cell>
          <cell r="S110" t="str">
            <v>16 化学工業</v>
          </cell>
        </row>
        <row r="111">
          <cell r="Q111" t="str">
            <v>170 管理，補助的経済活動を行う事業所（17石油製品・石炭製品製造業）</v>
          </cell>
          <cell r="R111" t="str">
            <v>業務</v>
          </cell>
          <cell r="S111" t="str">
            <v>17 石油製品・石炭製品製造業</v>
          </cell>
        </row>
        <row r="112">
          <cell r="Q112" t="str">
            <v>171 石油精製業</v>
          </cell>
          <cell r="R112" t="str">
            <v>産業</v>
          </cell>
          <cell r="S112" t="str">
            <v>17 石油製品・石炭製品製造業</v>
          </cell>
        </row>
        <row r="113">
          <cell r="Q113" t="str">
            <v>172 潤滑油・グリース製造業（石油精製業によらないもの）</v>
          </cell>
          <cell r="R113" t="str">
            <v>産業</v>
          </cell>
          <cell r="S113" t="str">
            <v>17 石油製品・石炭製品製造業</v>
          </cell>
        </row>
        <row r="114">
          <cell r="Q114" t="str">
            <v>173 コークス製造業</v>
          </cell>
          <cell r="R114" t="str">
            <v>産業</v>
          </cell>
          <cell r="S114" t="str">
            <v>17 石油製品・石炭製品製造業</v>
          </cell>
        </row>
        <row r="115">
          <cell r="Q115" t="str">
            <v>174 舗装材料製造業</v>
          </cell>
          <cell r="R115" t="str">
            <v>産業</v>
          </cell>
          <cell r="S115" t="str">
            <v>17 石油製品・石炭製品製造業</v>
          </cell>
        </row>
        <row r="116">
          <cell r="Q116" t="str">
            <v>179 その他の石油製品・石炭製品製造業</v>
          </cell>
          <cell r="R116" t="str">
            <v>産業</v>
          </cell>
          <cell r="S116" t="str">
            <v>17 石油製品・石炭製品製造業</v>
          </cell>
        </row>
        <row r="117">
          <cell r="Q117" t="str">
            <v>180 管理，補助的経済活動を行う事業所（18プラスチック製品製造業）</v>
          </cell>
          <cell r="R117" t="str">
            <v>業務</v>
          </cell>
          <cell r="S117" t="str">
            <v>18 プラスチック製品製造業（別掲を除く）</v>
          </cell>
        </row>
        <row r="118">
          <cell r="Q118" t="str">
            <v>181 プラスチック板・棒・管・継手・異形押出製品製造業</v>
          </cell>
          <cell r="R118" t="str">
            <v>産業</v>
          </cell>
          <cell r="S118" t="str">
            <v>18 プラスチック製品製造業（別掲を除く）</v>
          </cell>
        </row>
        <row r="119">
          <cell r="Q119" t="str">
            <v>182 プラスチックフィルム・シート・床材・合成皮革製造業</v>
          </cell>
          <cell r="R119" t="str">
            <v>産業</v>
          </cell>
          <cell r="S119" t="str">
            <v>18 プラスチック製品製造業（別掲を除く）</v>
          </cell>
        </row>
        <row r="120">
          <cell r="Q120" t="str">
            <v>183 工業用プラスチック製品製造業</v>
          </cell>
          <cell r="R120" t="str">
            <v>産業</v>
          </cell>
          <cell r="S120" t="str">
            <v>18 プラスチック製品製造業（別掲を除く）</v>
          </cell>
        </row>
        <row r="121">
          <cell r="Q121" t="str">
            <v>184 発泡・強化プラスチック製品製造業</v>
          </cell>
          <cell r="R121" t="str">
            <v>産業</v>
          </cell>
          <cell r="S121" t="str">
            <v>18 プラスチック製品製造業（別掲を除く）</v>
          </cell>
        </row>
        <row r="122">
          <cell r="Q122" t="str">
            <v>185 プラスチック成形材料製造業（廃プラスチックを含む）</v>
          </cell>
          <cell r="R122" t="str">
            <v>産業</v>
          </cell>
          <cell r="S122" t="str">
            <v>18 プラスチック製品製造業（別掲を除く）</v>
          </cell>
        </row>
        <row r="123">
          <cell r="Q123" t="str">
            <v>189 その他のプラスチック製品製造業</v>
          </cell>
          <cell r="R123" t="str">
            <v>産業</v>
          </cell>
          <cell r="S123" t="str">
            <v>18 プラスチック製品製造業（別掲を除く）</v>
          </cell>
        </row>
        <row r="124">
          <cell r="Q124" t="str">
            <v>190 管理，補助的経済活動を行う事業所（19ゴム製品製造業）</v>
          </cell>
          <cell r="R124" t="str">
            <v>業務</v>
          </cell>
          <cell r="S124" t="str">
            <v>19 ゴム製品製造業</v>
          </cell>
        </row>
        <row r="125">
          <cell r="Q125" t="str">
            <v>191 タイヤ・チューブ製造業</v>
          </cell>
          <cell r="R125" t="str">
            <v>産業</v>
          </cell>
          <cell r="S125" t="str">
            <v>19 ゴム製品製造業</v>
          </cell>
        </row>
        <row r="126">
          <cell r="Q126" t="str">
            <v>192 ゴム製・プラスチック製履物・同附属品製造業</v>
          </cell>
          <cell r="R126" t="str">
            <v>産業</v>
          </cell>
          <cell r="S126" t="str">
            <v>19 ゴム製品製造業</v>
          </cell>
        </row>
        <row r="127">
          <cell r="Q127" t="str">
            <v>193 ゴムベルト・ゴムホース・工業用ゴム製品製造業</v>
          </cell>
          <cell r="R127" t="str">
            <v>産業</v>
          </cell>
          <cell r="S127" t="str">
            <v>19 ゴム製品製造業</v>
          </cell>
        </row>
        <row r="128">
          <cell r="Q128" t="str">
            <v>199 その他のゴム製品製造業</v>
          </cell>
          <cell r="R128" t="str">
            <v>産業</v>
          </cell>
          <cell r="S128" t="str">
            <v>19 ゴム製品製造業</v>
          </cell>
        </row>
        <row r="129">
          <cell r="Q129" t="str">
            <v>200 管理，補助的経済活動を行う事業所（20なめし革・同製品・毛皮製造業）</v>
          </cell>
          <cell r="R129" t="str">
            <v>業務</v>
          </cell>
          <cell r="S129" t="str">
            <v>20 なめし革・同製品・毛皮製造業</v>
          </cell>
        </row>
        <row r="130">
          <cell r="Q130" t="str">
            <v>201 なめし革製造業</v>
          </cell>
          <cell r="R130" t="str">
            <v>産業</v>
          </cell>
          <cell r="S130" t="str">
            <v>20 なめし革・同製品・毛皮製造業</v>
          </cell>
        </row>
        <row r="131">
          <cell r="Q131" t="str">
            <v>202 工業用革製品製造業（手袋を除く）</v>
          </cell>
          <cell r="R131" t="str">
            <v>産業</v>
          </cell>
          <cell r="S131" t="str">
            <v>20 なめし革・同製品・毛皮製造業</v>
          </cell>
        </row>
        <row r="132">
          <cell r="Q132" t="str">
            <v>203 革製履物用材料・同附属品製造業</v>
          </cell>
          <cell r="R132" t="str">
            <v>産業</v>
          </cell>
          <cell r="S132" t="str">
            <v>20 なめし革・同製品・毛皮製造業</v>
          </cell>
        </row>
        <row r="133">
          <cell r="Q133" t="str">
            <v>204 革製履物製造業</v>
          </cell>
          <cell r="R133" t="str">
            <v>産業</v>
          </cell>
          <cell r="S133" t="str">
            <v>20 なめし革・同製品・毛皮製造業</v>
          </cell>
        </row>
        <row r="134">
          <cell r="Q134" t="str">
            <v>205 革製手袋製造業</v>
          </cell>
          <cell r="R134" t="str">
            <v>産業</v>
          </cell>
          <cell r="S134" t="str">
            <v>20 なめし革・同製品・毛皮製造業</v>
          </cell>
        </row>
        <row r="135">
          <cell r="Q135" t="str">
            <v>206 かばん製造業</v>
          </cell>
          <cell r="R135" t="str">
            <v>産業</v>
          </cell>
          <cell r="S135" t="str">
            <v>20 なめし革・同製品・毛皮製造業</v>
          </cell>
        </row>
        <row r="136">
          <cell r="Q136" t="str">
            <v>207 袋物製造業</v>
          </cell>
          <cell r="R136" t="str">
            <v>産業</v>
          </cell>
          <cell r="S136" t="str">
            <v>20 なめし革・同製品・毛皮製造業</v>
          </cell>
        </row>
        <row r="137">
          <cell r="Q137" t="str">
            <v>208 毛皮製造業</v>
          </cell>
          <cell r="R137" t="str">
            <v>産業</v>
          </cell>
          <cell r="S137" t="str">
            <v>20 なめし革・同製品・毛皮製造業</v>
          </cell>
        </row>
        <row r="138">
          <cell r="Q138" t="str">
            <v>209 その他のなめし革製品製造業</v>
          </cell>
          <cell r="R138" t="str">
            <v>産業</v>
          </cell>
          <cell r="S138" t="str">
            <v>20 なめし革・同製品・毛皮製造業</v>
          </cell>
        </row>
        <row r="139">
          <cell r="Q139" t="str">
            <v>210 管理，補助的経済活動を行う事業所（21窯業・土石製品製造業）</v>
          </cell>
          <cell r="R139" t="str">
            <v>業務</v>
          </cell>
          <cell r="S139" t="str">
            <v>21 窯業・土石製品製造業</v>
          </cell>
        </row>
        <row r="140">
          <cell r="Q140" t="str">
            <v>211 ガラス・同製品製造業</v>
          </cell>
          <cell r="R140" t="str">
            <v>産業</v>
          </cell>
          <cell r="S140" t="str">
            <v>21 窯業・土石製品製造業</v>
          </cell>
        </row>
        <row r="141">
          <cell r="Q141" t="str">
            <v>212 セメント・同製品製造業</v>
          </cell>
          <cell r="R141" t="str">
            <v>産業</v>
          </cell>
          <cell r="S141" t="str">
            <v>21 窯業・土石製品製造業</v>
          </cell>
        </row>
        <row r="142">
          <cell r="Q142" t="str">
            <v>213 建設用粘土製品製造業（陶磁器製を除く）</v>
          </cell>
          <cell r="R142" t="str">
            <v>産業</v>
          </cell>
          <cell r="S142" t="str">
            <v>21 窯業・土石製品製造業</v>
          </cell>
        </row>
        <row r="143">
          <cell r="Q143" t="str">
            <v>214 陶磁器・同関連製品製造業</v>
          </cell>
          <cell r="R143" t="str">
            <v>産業</v>
          </cell>
          <cell r="S143" t="str">
            <v>21 窯業・土石製品製造業</v>
          </cell>
        </row>
        <row r="144">
          <cell r="Q144" t="str">
            <v>215 耐火物製造業</v>
          </cell>
          <cell r="R144" t="str">
            <v>産業</v>
          </cell>
          <cell r="S144" t="str">
            <v>21 窯業・土石製品製造業</v>
          </cell>
        </row>
        <row r="145">
          <cell r="Q145" t="str">
            <v>216 炭素・黒鉛製品製造業</v>
          </cell>
          <cell r="R145" t="str">
            <v>産業</v>
          </cell>
          <cell r="S145" t="str">
            <v>21 窯業・土石製品製造業</v>
          </cell>
        </row>
        <row r="146">
          <cell r="Q146" t="str">
            <v>217 研磨材・同製品製造業</v>
          </cell>
          <cell r="R146" t="str">
            <v>産業</v>
          </cell>
          <cell r="S146" t="str">
            <v>21 窯業・土石製品製造業</v>
          </cell>
        </row>
        <row r="147">
          <cell r="Q147" t="str">
            <v>218 骨材・石工品等製造業</v>
          </cell>
          <cell r="R147" t="str">
            <v>産業</v>
          </cell>
          <cell r="S147" t="str">
            <v>21 窯業・土石製品製造業</v>
          </cell>
        </row>
        <row r="148">
          <cell r="Q148" t="str">
            <v>219 その他の窯業・土石製品製造業</v>
          </cell>
          <cell r="R148" t="str">
            <v>産業</v>
          </cell>
          <cell r="S148" t="str">
            <v>21 窯業・土石製品製造業</v>
          </cell>
        </row>
        <row r="149">
          <cell r="Q149" t="str">
            <v>220 管理，補助的経済活動を行う事業所（22鉄鋼業）</v>
          </cell>
          <cell r="R149" t="str">
            <v>業務</v>
          </cell>
          <cell r="S149" t="str">
            <v>22 鉄鋼業</v>
          </cell>
        </row>
        <row r="150">
          <cell r="Q150" t="str">
            <v>221 製鉄業</v>
          </cell>
          <cell r="R150" t="str">
            <v>産業</v>
          </cell>
          <cell r="S150" t="str">
            <v>22 鉄鋼業</v>
          </cell>
        </row>
        <row r="151">
          <cell r="Q151" t="str">
            <v>222 製鋼・製鋼圧延業</v>
          </cell>
          <cell r="R151" t="str">
            <v>産業</v>
          </cell>
          <cell r="S151" t="str">
            <v>22 鉄鋼業</v>
          </cell>
        </row>
        <row r="152">
          <cell r="Q152" t="str">
            <v>223 製鋼を行わない鋼材製造業（表面処理鋼材を除く）</v>
          </cell>
          <cell r="R152" t="str">
            <v>産業</v>
          </cell>
          <cell r="S152" t="str">
            <v>22 鉄鋼業</v>
          </cell>
        </row>
        <row r="153">
          <cell r="Q153" t="str">
            <v>224 表面処理鋼材製造業</v>
          </cell>
          <cell r="R153" t="str">
            <v>産業</v>
          </cell>
          <cell r="S153" t="str">
            <v>22 鉄鋼業</v>
          </cell>
        </row>
        <row r="154">
          <cell r="Q154" t="str">
            <v>225 鉄素形材製造業</v>
          </cell>
          <cell r="R154" t="str">
            <v>産業</v>
          </cell>
          <cell r="S154" t="str">
            <v>22 鉄鋼業</v>
          </cell>
        </row>
        <row r="155">
          <cell r="Q155" t="str">
            <v>229 その他の鉄鋼業</v>
          </cell>
          <cell r="R155" t="str">
            <v>産業</v>
          </cell>
          <cell r="S155" t="str">
            <v>22 鉄鋼業</v>
          </cell>
        </row>
        <row r="156">
          <cell r="Q156" t="str">
            <v>230 管理，補助的経済活動を行う事業所（23非鉄金属製造業）</v>
          </cell>
          <cell r="R156" t="str">
            <v>業務</v>
          </cell>
          <cell r="S156" t="str">
            <v>23 非鉄金属製造業</v>
          </cell>
        </row>
        <row r="157">
          <cell r="Q157" t="str">
            <v>231 非鉄金属第１次製錬・精製業</v>
          </cell>
          <cell r="R157" t="str">
            <v>産業</v>
          </cell>
          <cell r="S157" t="str">
            <v>23 非鉄金属製造業</v>
          </cell>
        </row>
        <row r="158">
          <cell r="Q158" t="str">
            <v>232 非鉄金属第２次製錬・精製業（非鉄金属合金製造業を含む）</v>
          </cell>
          <cell r="R158" t="str">
            <v>産業</v>
          </cell>
          <cell r="S158" t="str">
            <v>23 非鉄金属製造業</v>
          </cell>
        </row>
        <row r="159">
          <cell r="Q159" t="str">
            <v>233 非鉄金属・同合金圧延業（抽伸，押出しを含む）</v>
          </cell>
          <cell r="R159" t="str">
            <v>産業</v>
          </cell>
          <cell r="S159" t="str">
            <v>23 非鉄金属製造業</v>
          </cell>
        </row>
        <row r="160">
          <cell r="Q160" t="str">
            <v>234 電線・ケーブル製造業</v>
          </cell>
          <cell r="R160" t="str">
            <v>産業</v>
          </cell>
          <cell r="S160" t="str">
            <v>23 非鉄金属製造業</v>
          </cell>
        </row>
        <row r="161">
          <cell r="Q161" t="str">
            <v>235 非鉄金属素形材製造業</v>
          </cell>
          <cell r="R161" t="str">
            <v>産業</v>
          </cell>
          <cell r="S161" t="str">
            <v>23 非鉄金属製造業</v>
          </cell>
        </row>
        <row r="162">
          <cell r="Q162" t="str">
            <v>239 その他の非鉄金属製造業</v>
          </cell>
          <cell r="R162" t="str">
            <v>産業</v>
          </cell>
          <cell r="S162" t="str">
            <v>23 非鉄金属製造業</v>
          </cell>
        </row>
        <row r="163">
          <cell r="Q163" t="str">
            <v>240 管理，補助的経済活動を行う事業所（24金属製品製造業）</v>
          </cell>
          <cell r="R163" t="str">
            <v>業務</v>
          </cell>
          <cell r="S163" t="str">
            <v>24 金属製品製造業</v>
          </cell>
        </row>
        <row r="164">
          <cell r="Q164" t="str">
            <v>241 ブリキ缶・その他のめっき板等製品製造業</v>
          </cell>
          <cell r="R164" t="str">
            <v>産業</v>
          </cell>
          <cell r="S164" t="str">
            <v>24 金属製品製造業</v>
          </cell>
        </row>
        <row r="165">
          <cell r="Q165" t="str">
            <v>242 洋食器・刃物・手道具・金物類製造業</v>
          </cell>
          <cell r="R165" t="str">
            <v>産業</v>
          </cell>
          <cell r="S165" t="str">
            <v>24 金属製品製造業</v>
          </cell>
        </row>
        <row r="166">
          <cell r="Q166" t="str">
            <v>243 暖房・調理等装置，配管工事用附属品製造業</v>
          </cell>
          <cell r="R166" t="str">
            <v>産業</v>
          </cell>
          <cell r="S166" t="str">
            <v>24 金属製品製造業</v>
          </cell>
        </row>
        <row r="167">
          <cell r="Q167" t="str">
            <v>244 建設用・建築用金属製品製造業（製缶板金業を含む）</v>
          </cell>
          <cell r="R167" t="str">
            <v>産業</v>
          </cell>
          <cell r="S167" t="str">
            <v>24 金属製品製造業</v>
          </cell>
        </row>
        <row r="168">
          <cell r="Q168" t="str">
            <v>245 金属素形材製品製造業</v>
          </cell>
          <cell r="R168" t="str">
            <v>産業</v>
          </cell>
          <cell r="S168" t="str">
            <v>24 金属製品製造業</v>
          </cell>
        </row>
        <row r="169">
          <cell r="Q169" t="str">
            <v>246 金属被覆・彫刻業，熱処理業（ほうろう鉄器を除く）</v>
          </cell>
          <cell r="R169" t="str">
            <v>産業</v>
          </cell>
          <cell r="S169" t="str">
            <v>24 金属製品製造業</v>
          </cell>
        </row>
        <row r="170">
          <cell r="Q170" t="str">
            <v>247 金属線製品製造業（ねじ類を除く）</v>
          </cell>
          <cell r="R170" t="str">
            <v>産業</v>
          </cell>
          <cell r="S170" t="str">
            <v>24 金属製品製造業</v>
          </cell>
        </row>
        <row r="171">
          <cell r="Q171" t="str">
            <v>248 ボルト・ナット・リベット・小ねじ・木ねじ等製造業</v>
          </cell>
          <cell r="R171" t="str">
            <v>産業</v>
          </cell>
          <cell r="S171" t="str">
            <v>24 金属製品製造業</v>
          </cell>
        </row>
        <row r="172">
          <cell r="Q172" t="str">
            <v>249 その他の金属製品製造業</v>
          </cell>
          <cell r="R172" t="str">
            <v>産業</v>
          </cell>
          <cell r="S172" t="str">
            <v>24 金属製品製造業</v>
          </cell>
        </row>
        <row r="173">
          <cell r="Q173" t="str">
            <v>250 管理，補助的経済活動を行う事業所（25はん用機械器具製造業）</v>
          </cell>
          <cell r="R173" t="str">
            <v>業務</v>
          </cell>
          <cell r="S173" t="str">
            <v>25 はん用機械器具製造業</v>
          </cell>
        </row>
        <row r="174">
          <cell r="Q174" t="str">
            <v>251 ボイラ・原動機製造業</v>
          </cell>
          <cell r="R174" t="str">
            <v>産業</v>
          </cell>
          <cell r="S174" t="str">
            <v>25 はん用機械器具製造業</v>
          </cell>
        </row>
        <row r="175">
          <cell r="Q175" t="str">
            <v>252 ポンプ・圧縮機器製造業</v>
          </cell>
          <cell r="R175" t="str">
            <v>産業</v>
          </cell>
          <cell r="S175" t="str">
            <v>25 はん用機械器具製造業</v>
          </cell>
        </row>
        <row r="176">
          <cell r="Q176" t="str">
            <v>253 一般産業用機械・装置製造業</v>
          </cell>
          <cell r="R176" t="str">
            <v>産業</v>
          </cell>
          <cell r="S176" t="str">
            <v>25 はん用機械器具製造業</v>
          </cell>
        </row>
        <row r="177">
          <cell r="Q177" t="str">
            <v>259 その他のはん用機械・同部分品製造業</v>
          </cell>
          <cell r="R177" t="str">
            <v>産業</v>
          </cell>
          <cell r="S177" t="str">
            <v>25 はん用機械器具製造業</v>
          </cell>
        </row>
        <row r="178">
          <cell r="Q178" t="str">
            <v>260 管理，補助的経済活動を行う事業所（26生産用機械器具製造業）</v>
          </cell>
          <cell r="R178" t="str">
            <v>業務</v>
          </cell>
          <cell r="S178" t="str">
            <v>26 生産用機械器具製造業</v>
          </cell>
        </row>
        <row r="179">
          <cell r="Q179" t="str">
            <v>261 農業用機械製造業（農業用器具を除く）</v>
          </cell>
          <cell r="R179" t="str">
            <v>産業</v>
          </cell>
          <cell r="S179" t="str">
            <v>26 生産用機械器具製造業</v>
          </cell>
        </row>
        <row r="180">
          <cell r="Q180" t="str">
            <v>262 建設機械・鉱山機械製造業</v>
          </cell>
          <cell r="R180" t="str">
            <v>産業</v>
          </cell>
          <cell r="S180" t="str">
            <v>26 生産用機械器具製造業</v>
          </cell>
        </row>
        <row r="181">
          <cell r="Q181" t="str">
            <v>263 繊維機械製造業</v>
          </cell>
          <cell r="R181" t="str">
            <v>産業</v>
          </cell>
          <cell r="S181" t="str">
            <v>26 生産用機械器具製造業</v>
          </cell>
        </row>
        <row r="182">
          <cell r="Q182" t="str">
            <v>264 生活関連産業用機械製造業</v>
          </cell>
          <cell r="R182" t="str">
            <v>産業</v>
          </cell>
          <cell r="S182" t="str">
            <v>26 生産用機械器具製造業</v>
          </cell>
        </row>
        <row r="183">
          <cell r="Q183" t="str">
            <v>265 基礎素材産業用機械製造業</v>
          </cell>
          <cell r="R183" t="str">
            <v>産業</v>
          </cell>
          <cell r="S183" t="str">
            <v>26 生産用機械器具製造業</v>
          </cell>
        </row>
        <row r="184">
          <cell r="Q184" t="str">
            <v>266 金属加工機械製造業</v>
          </cell>
          <cell r="R184" t="str">
            <v>産業</v>
          </cell>
          <cell r="S184" t="str">
            <v>26 生産用機械器具製造業</v>
          </cell>
        </row>
        <row r="185">
          <cell r="Q185" t="str">
            <v>267 半導体・フラットパネルディスプレイ製造装置製造業</v>
          </cell>
          <cell r="R185" t="str">
            <v>産業</v>
          </cell>
          <cell r="S185" t="str">
            <v>26 生産用機械器具製造業</v>
          </cell>
        </row>
        <row r="186">
          <cell r="Q186" t="str">
            <v>269 その他の生産用機械・同部分品製造業</v>
          </cell>
          <cell r="R186" t="str">
            <v>産業</v>
          </cell>
          <cell r="S186" t="str">
            <v>26 生産用機械器具製造業</v>
          </cell>
        </row>
        <row r="187">
          <cell r="Q187" t="str">
            <v>270 管理，補助的経済活動を行う事業所（27業務用機械器具製造業）</v>
          </cell>
          <cell r="R187" t="str">
            <v>業務</v>
          </cell>
          <cell r="S187" t="str">
            <v>27 業務用機械器具製造業</v>
          </cell>
        </row>
        <row r="188">
          <cell r="Q188" t="str">
            <v>271 事務用機械器具製造業</v>
          </cell>
          <cell r="R188" t="str">
            <v>産業</v>
          </cell>
          <cell r="S188" t="str">
            <v>27 業務用機械器具製造業</v>
          </cell>
        </row>
        <row r="189">
          <cell r="Q189" t="str">
            <v>272 サービス用・娯楽用機械器具製造業</v>
          </cell>
          <cell r="R189" t="str">
            <v>産業</v>
          </cell>
          <cell r="S189" t="str">
            <v>27 業務用機械器具製造業</v>
          </cell>
        </row>
        <row r="190">
          <cell r="Q190" t="str">
            <v>273 計量器・測定器・分析機器・試験機・測量機械器具・理化学機械器具製造業</v>
          </cell>
          <cell r="R190" t="str">
            <v>産業</v>
          </cell>
          <cell r="S190" t="str">
            <v>27 業務用機械器具製造業</v>
          </cell>
        </row>
        <row r="191">
          <cell r="Q191" t="str">
            <v>274 医療用機械器具・医療用品製造業</v>
          </cell>
          <cell r="R191" t="str">
            <v>産業</v>
          </cell>
          <cell r="S191" t="str">
            <v>27 業務用機械器具製造業</v>
          </cell>
        </row>
        <row r="192">
          <cell r="Q192" t="str">
            <v>275 光学機械器具・レンズ製造業</v>
          </cell>
          <cell r="R192" t="str">
            <v>産業</v>
          </cell>
          <cell r="S192" t="str">
            <v>27 業務用機械器具製造業</v>
          </cell>
        </row>
        <row r="193">
          <cell r="Q193" t="str">
            <v>276 武器製造業</v>
          </cell>
          <cell r="R193" t="str">
            <v>産業</v>
          </cell>
          <cell r="S193" t="str">
            <v>27 業務用機械器具製造業</v>
          </cell>
        </row>
        <row r="194">
          <cell r="Q194" t="str">
            <v>280 管理，補助的経済活動を行う事業所（28電子部品・デバイス・電子回路製造業）</v>
          </cell>
          <cell r="R194" t="str">
            <v>業務</v>
          </cell>
          <cell r="S194" t="str">
            <v>28 電子部品・デバイス・電子回路製造業</v>
          </cell>
        </row>
        <row r="195">
          <cell r="Q195" t="str">
            <v>281 電子デバイス製造業</v>
          </cell>
          <cell r="R195" t="str">
            <v>産業</v>
          </cell>
          <cell r="S195" t="str">
            <v>28 電子部品・デバイス・電子回路製造業</v>
          </cell>
        </row>
        <row r="196">
          <cell r="Q196" t="str">
            <v>282 電子部品製造業</v>
          </cell>
          <cell r="R196" t="str">
            <v>産業</v>
          </cell>
          <cell r="S196" t="str">
            <v>28 電子部品・デバイス・電子回路製造業</v>
          </cell>
        </row>
        <row r="197">
          <cell r="Q197" t="str">
            <v>283 記録メディア製造業</v>
          </cell>
          <cell r="R197" t="str">
            <v>産業</v>
          </cell>
          <cell r="S197" t="str">
            <v>28 電子部品・デバイス・電子回路製造業</v>
          </cell>
        </row>
        <row r="198">
          <cell r="Q198" t="str">
            <v>284 電子回路製造業</v>
          </cell>
          <cell r="R198" t="str">
            <v>産業</v>
          </cell>
          <cell r="S198" t="str">
            <v>28 電子部品・デバイス・電子回路製造業</v>
          </cell>
        </row>
        <row r="199">
          <cell r="Q199" t="str">
            <v>285 ユニット部品製造業</v>
          </cell>
          <cell r="R199" t="str">
            <v>産業</v>
          </cell>
          <cell r="S199" t="str">
            <v>28 電子部品・デバイス・電子回路製造業</v>
          </cell>
        </row>
        <row r="200">
          <cell r="Q200" t="str">
            <v>289 その他の電子部品・デバイス・電子回路製造業</v>
          </cell>
          <cell r="R200" t="str">
            <v>産業</v>
          </cell>
          <cell r="S200" t="str">
            <v>28 電子部品・デバイス・電子回路製造業</v>
          </cell>
        </row>
        <row r="201">
          <cell r="Q201" t="str">
            <v>290 管理，補助的経済活動を行う事業所（29電気機械器具製造業）</v>
          </cell>
          <cell r="R201" t="str">
            <v>業務</v>
          </cell>
          <cell r="S201" t="str">
            <v>29 電気機械器具製造業</v>
          </cell>
        </row>
        <row r="202">
          <cell r="Q202" t="str">
            <v>291 発電用・送電用・配電用電気機械器具製造業</v>
          </cell>
          <cell r="R202" t="str">
            <v>産業</v>
          </cell>
          <cell r="S202" t="str">
            <v>29 電気機械器具製造業</v>
          </cell>
        </row>
        <row r="203">
          <cell r="Q203" t="str">
            <v>292 産業用電気機械器具製造業</v>
          </cell>
          <cell r="R203" t="str">
            <v>産業</v>
          </cell>
          <cell r="S203" t="str">
            <v>29 電気機械器具製造業</v>
          </cell>
        </row>
        <row r="204">
          <cell r="Q204" t="str">
            <v>293 民生用電気機械器具製造業</v>
          </cell>
          <cell r="R204" t="str">
            <v>産業</v>
          </cell>
          <cell r="S204" t="str">
            <v>29 電気機械器具製造業</v>
          </cell>
        </row>
        <row r="205">
          <cell r="Q205" t="str">
            <v>294 電球・電気照明器具製造業</v>
          </cell>
          <cell r="R205" t="str">
            <v>産業</v>
          </cell>
          <cell r="S205" t="str">
            <v>29 電気機械器具製造業</v>
          </cell>
        </row>
        <row r="206">
          <cell r="Q206" t="str">
            <v>295 電池製造業</v>
          </cell>
          <cell r="R206" t="str">
            <v>産業</v>
          </cell>
          <cell r="S206" t="str">
            <v>29 電気機械器具製造業</v>
          </cell>
        </row>
        <row r="207">
          <cell r="Q207" t="str">
            <v>296 電子応用装置製造業</v>
          </cell>
          <cell r="R207" t="str">
            <v>産業</v>
          </cell>
          <cell r="S207" t="str">
            <v>29 電気機械器具製造業</v>
          </cell>
        </row>
        <row r="208">
          <cell r="Q208" t="str">
            <v>297 電気計測器製造業</v>
          </cell>
          <cell r="R208" t="str">
            <v>産業</v>
          </cell>
          <cell r="S208" t="str">
            <v>29 電気機械器具製造業</v>
          </cell>
        </row>
        <row r="209">
          <cell r="Q209" t="str">
            <v>299 その他の電気機械器具製造業</v>
          </cell>
          <cell r="R209" t="str">
            <v>産業</v>
          </cell>
          <cell r="S209" t="str">
            <v>29 電気機械器具製造業</v>
          </cell>
        </row>
        <row r="210">
          <cell r="Q210" t="str">
            <v>300 管理，補助的経済活動を行う事業所（30情報通信機械器具製造業）</v>
          </cell>
          <cell r="R210" t="str">
            <v>業務</v>
          </cell>
          <cell r="S210" t="str">
            <v>30 情報通信機械器具製造業</v>
          </cell>
        </row>
        <row r="211">
          <cell r="Q211" t="str">
            <v>301 通信機械器具・同関連機械器具製造業</v>
          </cell>
          <cell r="R211" t="str">
            <v>産業</v>
          </cell>
          <cell r="S211" t="str">
            <v>30 情報通信機械器具製造業</v>
          </cell>
        </row>
        <row r="212">
          <cell r="Q212" t="str">
            <v>302 映像・音響機械器具製造業</v>
          </cell>
          <cell r="R212" t="str">
            <v>産業</v>
          </cell>
          <cell r="S212" t="str">
            <v>30 情報通信機械器具製造業</v>
          </cell>
        </row>
        <row r="213">
          <cell r="Q213" t="str">
            <v>303 電子計算機・同附属装置製造業</v>
          </cell>
          <cell r="R213" t="str">
            <v>産業</v>
          </cell>
          <cell r="S213" t="str">
            <v>30 情報通信機械器具製造業</v>
          </cell>
        </row>
        <row r="214">
          <cell r="Q214" t="str">
            <v>310 管理，補助的経済活動を行う事業所（31輸送用機械器具製造業）</v>
          </cell>
          <cell r="R214" t="str">
            <v>業務</v>
          </cell>
          <cell r="S214" t="str">
            <v>31 輸送用機械器具製造業</v>
          </cell>
        </row>
        <row r="215">
          <cell r="Q215" t="str">
            <v>311 自動車・同附属品製造業</v>
          </cell>
          <cell r="R215" t="str">
            <v>産業</v>
          </cell>
          <cell r="S215" t="str">
            <v>31 輸送用機械器具製造業</v>
          </cell>
        </row>
        <row r="216">
          <cell r="Q216" t="str">
            <v>312 鉄道車両・同部分品製造業</v>
          </cell>
          <cell r="R216" t="str">
            <v>産業</v>
          </cell>
          <cell r="S216" t="str">
            <v>31 輸送用機械器具製造業</v>
          </cell>
        </row>
        <row r="217">
          <cell r="Q217" t="str">
            <v>313 船舶製造・修理業，舶用機関製造業</v>
          </cell>
          <cell r="R217" t="str">
            <v>産業</v>
          </cell>
          <cell r="S217" t="str">
            <v>31 輸送用機械器具製造業</v>
          </cell>
        </row>
        <row r="218">
          <cell r="Q218" t="str">
            <v>314 航空機・同附属品製造業</v>
          </cell>
          <cell r="R218" t="str">
            <v>産業</v>
          </cell>
          <cell r="S218" t="str">
            <v>31 輸送用機械器具製造業</v>
          </cell>
        </row>
        <row r="219">
          <cell r="Q219" t="str">
            <v>315 産業用運搬車両・同部分品・附属品製造業</v>
          </cell>
          <cell r="R219" t="str">
            <v>産業</v>
          </cell>
          <cell r="S219" t="str">
            <v>31 輸送用機械器具製造業</v>
          </cell>
        </row>
        <row r="220">
          <cell r="Q220" t="str">
            <v>319 その他の輸送用機械器具製造業</v>
          </cell>
          <cell r="R220" t="str">
            <v>産業</v>
          </cell>
          <cell r="S220" t="str">
            <v>31 輸送用機械器具製造業</v>
          </cell>
        </row>
        <row r="221">
          <cell r="Q221" t="str">
            <v>320 管理，補助的経済活動を行う事業所（32その他の製造業）</v>
          </cell>
          <cell r="R221" t="str">
            <v>業務</v>
          </cell>
          <cell r="S221" t="str">
            <v>32 その他の製造業</v>
          </cell>
        </row>
        <row r="222">
          <cell r="Q222" t="str">
            <v>321 貴金属・宝石製品製造業</v>
          </cell>
          <cell r="R222" t="str">
            <v>産業</v>
          </cell>
          <cell r="S222" t="str">
            <v>32 その他の製造業</v>
          </cell>
        </row>
        <row r="223">
          <cell r="Q223" t="str">
            <v>322 装身具・装飾品・ボタン・同関連品製造業（貴金属・宝石製を除く）</v>
          </cell>
          <cell r="R223" t="str">
            <v>産業</v>
          </cell>
          <cell r="S223" t="str">
            <v>32 その他の製造業</v>
          </cell>
        </row>
        <row r="224">
          <cell r="Q224" t="str">
            <v>323 時計・同部分品製造業</v>
          </cell>
          <cell r="R224" t="str">
            <v>産業</v>
          </cell>
          <cell r="S224" t="str">
            <v>32 その他の製造業</v>
          </cell>
        </row>
        <row r="225">
          <cell r="Q225" t="str">
            <v>324 楽器製造業</v>
          </cell>
          <cell r="R225" t="str">
            <v>産業</v>
          </cell>
          <cell r="S225" t="str">
            <v>32 その他の製造業</v>
          </cell>
        </row>
        <row r="226">
          <cell r="Q226" t="str">
            <v>325 がん具・運動用具製造業</v>
          </cell>
          <cell r="R226" t="str">
            <v>産業</v>
          </cell>
          <cell r="S226" t="str">
            <v>32 その他の製造業</v>
          </cell>
        </row>
        <row r="227">
          <cell r="Q227" t="str">
            <v>326 ペン・鉛筆・絵画用品・その他の事務用品製造業</v>
          </cell>
          <cell r="R227" t="str">
            <v>産業</v>
          </cell>
          <cell r="S227" t="str">
            <v>32 その他の製造業</v>
          </cell>
        </row>
        <row r="228">
          <cell r="Q228" t="str">
            <v>327 漆器製造業</v>
          </cell>
          <cell r="R228" t="str">
            <v>産業</v>
          </cell>
          <cell r="S228" t="str">
            <v>32 その他の製造業</v>
          </cell>
        </row>
        <row r="229">
          <cell r="Q229" t="str">
            <v>328 畳等生活雑貨製品製造業</v>
          </cell>
          <cell r="R229" t="str">
            <v>産業</v>
          </cell>
          <cell r="S229" t="str">
            <v>32 その他の製造業</v>
          </cell>
        </row>
        <row r="230">
          <cell r="Q230" t="str">
            <v>329 他に分類されない製造業</v>
          </cell>
          <cell r="R230" t="str">
            <v>産業</v>
          </cell>
          <cell r="S230" t="str">
            <v>32 その他の製造業</v>
          </cell>
        </row>
        <row r="231">
          <cell r="Q231" t="str">
            <v>330 管理，補助的経済活動を行う事業所（33電気業）</v>
          </cell>
          <cell r="R231" t="str">
            <v>業務</v>
          </cell>
          <cell r="S231" t="str">
            <v>33 電気業</v>
          </cell>
        </row>
        <row r="232">
          <cell r="Q232" t="str">
            <v>331 電気業</v>
          </cell>
          <cell r="R232" t="str">
            <v>業務</v>
          </cell>
          <cell r="S232" t="str">
            <v>33 電気業</v>
          </cell>
        </row>
        <row r="233">
          <cell r="Q233" t="str">
            <v>340 管理，補助的経済活動を行う事業所（34ガス業）</v>
          </cell>
          <cell r="R233" t="str">
            <v>業務</v>
          </cell>
          <cell r="S233" t="str">
            <v>34 ガス業</v>
          </cell>
        </row>
        <row r="234">
          <cell r="Q234" t="str">
            <v>341 ガス業</v>
          </cell>
          <cell r="R234" t="str">
            <v>業務</v>
          </cell>
          <cell r="S234" t="str">
            <v>34 ガス業</v>
          </cell>
        </row>
        <row r="235">
          <cell r="Q235" t="str">
            <v>350 管理，補助的経済活動を行う事業所（35熱供給業）</v>
          </cell>
          <cell r="R235" t="str">
            <v>業務</v>
          </cell>
          <cell r="S235" t="str">
            <v>35 熱供給業</v>
          </cell>
        </row>
        <row r="236">
          <cell r="Q236" t="str">
            <v>351 熱供給業</v>
          </cell>
          <cell r="R236" t="str">
            <v>業務</v>
          </cell>
          <cell r="S236" t="str">
            <v>35 熱供給業</v>
          </cell>
        </row>
        <row r="237">
          <cell r="Q237" t="str">
            <v>360 管理，補助的経済活動を行う事業所（36水道業）</v>
          </cell>
          <cell r="R237" t="str">
            <v>業務</v>
          </cell>
          <cell r="S237" t="str">
            <v>36 水道業</v>
          </cell>
        </row>
        <row r="238">
          <cell r="Q238" t="str">
            <v>361 上水道業</v>
          </cell>
          <cell r="R238" t="str">
            <v>業務</v>
          </cell>
          <cell r="S238" t="str">
            <v>36 水道業</v>
          </cell>
        </row>
        <row r="239">
          <cell r="Q239" t="str">
            <v>362 工業用水道業</v>
          </cell>
          <cell r="R239" t="str">
            <v>業務</v>
          </cell>
          <cell r="S239" t="str">
            <v>36 水道業</v>
          </cell>
        </row>
        <row r="240">
          <cell r="Q240" t="str">
            <v>363 下水道業</v>
          </cell>
          <cell r="R240" t="str">
            <v>業務</v>
          </cell>
          <cell r="S240" t="str">
            <v>36 水道業</v>
          </cell>
        </row>
        <row r="241">
          <cell r="Q241" t="str">
            <v>370 管理，補助的経済活動を行う事業所（37通信業）</v>
          </cell>
          <cell r="R241" t="str">
            <v>業務</v>
          </cell>
          <cell r="S241" t="str">
            <v>37 通信業</v>
          </cell>
        </row>
        <row r="242">
          <cell r="Q242" t="str">
            <v>371 固定電気通信業</v>
          </cell>
          <cell r="R242" t="str">
            <v>業務</v>
          </cell>
          <cell r="S242" t="str">
            <v>37 通信業</v>
          </cell>
        </row>
        <row r="243">
          <cell r="Q243" t="str">
            <v>372 移動電気通信業</v>
          </cell>
          <cell r="R243" t="str">
            <v>業務</v>
          </cell>
          <cell r="S243" t="str">
            <v>37 通信業</v>
          </cell>
        </row>
        <row r="244">
          <cell r="Q244" t="str">
            <v>373 電気通信に附帯するサービス業</v>
          </cell>
          <cell r="R244" t="str">
            <v>業務</v>
          </cell>
          <cell r="S244" t="str">
            <v>37 通信業</v>
          </cell>
        </row>
        <row r="245">
          <cell r="Q245" t="str">
            <v>380 管理，補助的経済活動を行う事業所（38放送業）</v>
          </cell>
          <cell r="R245" t="str">
            <v>業務</v>
          </cell>
          <cell r="S245" t="str">
            <v>38 放送業</v>
          </cell>
        </row>
        <row r="246">
          <cell r="Q246" t="str">
            <v>381 公共放送業（有線放送業を除く）</v>
          </cell>
          <cell r="R246" t="str">
            <v>業務</v>
          </cell>
          <cell r="S246" t="str">
            <v>38 放送業</v>
          </cell>
        </row>
        <row r="247">
          <cell r="Q247" t="str">
            <v>382 民間放送業（有線放送業を除く）</v>
          </cell>
          <cell r="R247" t="str">
            <v>業務</v>
          </cell>
          <cell r="S247" t="str">
            <v>38 放送業</v>
          </cell>
        </row>
        <row r="248">
          <cell r="Q248" t="str">
            <v>383 有線放送業</v>
          </cell>
          <cell r="R248" t="str">
            <v>業務</v>
          </cell>
          <cell r="S248" t="str">
            <v>38 放送業</v>
          </cell>
        </row>
        <row r="249">
          <cell r="Q249" t="str">
            <v>390 管理，補助的経済活動を行う事業所（39情報サービス業）</v>
          </cell>
          <cell r="R249" t="str">
            <v>業務</v>
          </cell>
          <cell r="S249" t="str">
            <v>39 情報サービス業</v>
          </cell>
        </row>
        <row r="250">
          <cell r="Q250" t="str">
            <v>391 ソフトウェア業</v>
          </cell>
          <cell r="R250" t="str">
            <v>業務</v>
          </cell>
          <cell r="S250" t="str">
            <v>39 情報サービス業</v>
          </cell>
        </row>
        <row r="251">
          <cell r="Q251" t="str">
            <v>392 情報処理・提供サービス業</v>
          </cell>
          <cell r="R251" t="str">
            <v>業務</v>
          </cell>
          <cell r="S251" t="str">
            <v>39 情報サービス業</v>
          </cell>
        </row>
        <row r="252">
          <cell r="Q252" t="str">
            <v>400 管理，補助的経済活動を行う事業所（40インターネット附随サービス業）</v>
          </cell>
          <cell r="R252" t="str">
            <v>業務</v>
          </cell>
          <cell r="S252" t="str">
            <v>40 インターネット附随サービス業</v>
          </cell>
        </row>
        <row r="253">
          <cell r="Q253" t="str">
            <v>401 インターネット附随サービス業</v>
          </cell>
          <cell r="R253" t="str">
            <v>業務</v>
          </cell>
          <cell r="S253" t="str">
            <v>40 インターネット附随サービス業</v>
          </cell>
        </row>
        <row r="254">
          <cell r="Q254" t="str">
            <v>410 管理，補助的経済活動を行う事業所（41映像・音声・文字情報制作業）</v>
          </cell>
          <cell r="R254" t="str">
            <v>業務</v>
          </cell>
          <cell r="S254" t="str">
            <v>41 映像・音声・文字情報制作業</v>
          </cell>
        </row>
        <row r="255">
          <cell r="Q255" t="str">
            <v>411 映像情報制作・配給業</v>
          </cell>
          <cell r="R255" t="str">
            <v>業務</v>
          </cell>
          <cell r="S255" t="str">
            <v>41 映像・音声・文字情報制作業</v>
          </cell>
        </row>
        <row r="256">
          <cell r="Q256" t="str">
            <v>412 音声情報制作業</v>
          </cell>
          <cell r="R256" t="str">
            <v>業務</v>
          </cell>
          <cell r="S256" t="str">
            <v>41 映像・音声・文字情報制作業</v>
          </cell>
        </row>
        <row r="257">
          <cell r="Q257" t="str">
            <v>413 新聞業</v>
          </cell>
          <cell r="R257" t="str">
            <v>業務</v>
          </cell>
          <cell r="S257" t="str">
            <v>41 映像・音声・文字情報制作業</v>
          </cell>
        </row>
        <row r="258">
          <cell r="Q258" t="str">
            <v>414 出版業</v>
          </cell>
          <cell r="R258" t="str">
            <v>業務</v>
          </cell>
          <cell r="S258" t="str">
            <v>41 映像・音声・文字情報制作業</v>
          </cell>
        </row>
        <row r="259">
          <cell r="Q259" t="str">
            <v>415 広告制作業</v>
          </cell>
          <cell r="R259" t="str">
            <v>業務</v>
          </cell>
          <cell r="S259" t="str">
            <v>41 映像・音声・文字情報制作業</v>
          </cell>
        </row>
        <row r="260">
          <cell r="Q260" t="str">
            <v>416 映像・音声・文字情報制作に附帯するサービス業</v>
          </cell>
          <cell r="R260" t="str">
            <v>業務</v>
          </cell>
          <cell r="S260" t="str">
            <v>41 映像・音声・文字情報制作業</v>
          </cell>
        </row>
        <row r="261">
          <cell r="Q261" t="str">
            <v>420 管理，補助的経済活動を行う事業所（42鉄道業）</v>
          </cell>
          <cell r="R261" t="str">
            <v>業務</v>
          </cell>
          <cell r="S261" t="str">
            <v>42 鉄道業</v>
          </cell>
        </row>
        <row r="262">
          <cell r="Q262" t="str">
            <v>421 鉄道業</v>
          </cell>
          <cell r="R262" t="str">
            <v>業務</v>
          </cell>
          <cell r="S262" t="str">
            <v>42 鉄道業</v>
          </cell>
        </row>
        <row r="263">
          <cell r="Q263" t="str">
            <v>430 管理，補助的経済活動を行う事業所（43道路旅客運送業）</v>
          </cell>
          <cell r="R263" t="str">
            <v>業務</v>
          </cell>
          <cell r="S263" t="str">
            <v>43 道路旅客運送業</v>
          </cell>
        </row>
        <row r="264">
          <cell r="Q264" t="str">
            <v>431 一般乗合旅客自動車運送業</v>
          </cell>
          <cell r="R264" t="str">
            <v>業務</v>
          </cell>
          <cell r="S264" t="str">
            <v>43 道路旅客運送業</v>
          </cell>
        </row>
        <row r="265">
          <cell r="Q265" t="str">
            <v>432 一般乗用旅客自動車運送業</v>
          </cell>
          <cell r="R265" t="str">
            <v>業務</v>
          </cell>
          <cell r="S265" t="str">
            <v>43 道路旅客運送業</v>
          </cell>
        </row>
        <row r="266">
          <cell r="Q266" t="str">
            <v>433 一般貸切旅客自動車運送業</v>
          </cell>
          <cell r="R266" t="str">
            <v>業務</v>
          </cell>
          <cell r="S266" t="str">
            <v>43 道路旅客運送業</v>
          </cell>
        </row>
        <row r="267">
          <cell r="Q267" t="str">
            <v>439 その他の道路旅客運送業</v>
          </cell>
          <cell r="R267" t="str">
            <v>業務</v>
          </cell>
          <cell r="S267" t="str">
            <v>43 道路旅客運送業</v>
          </cell>
        </row>
        <row r="268">
          <cell r="Q268" t="str">
            <v>440 管理，補助的経済活動を行う事業所（44道路貨物運送業）</v>
          </cell>
          <cell r="R268" t="str">
            <v>業務</v>
          </cell>
          <cell r="S268" t="str">
            <v>44 道路貨物運送業</v>
          </cell>
        </row>
        <row r="269">
          <cell r="Q269" t="str">
            <v>441 一般貨物自動車運送業</v>
          </cell>
          <cell r="R269" t="str">
            <v>業務</v>
          </cell>
          <cell r="S269" t="str">
            <v>44 道路貨物運送業</v>
          </cell>
        </row>
        <row r="270">
          <cell r="Q270" t="str">
            <v>442 特定貨物自動車運送業</v>
          </cell>
          <cell r="R270" t="str">
            <v>業務</v>
          </cell>
          <cell r="S270" t="str">
            <v>44 道路貨物運送業</v>
          </cell>
        </row>
        <row r="271">
          <cell r="Q271" t="str">
            <v>443 貨物軽自動車運送業</v>
          </cell>
          <cell r="R271" t="str">
            <v>業務</v>
          </cell>
          <cell r="S271" t="str">
            <v>44 道路貨物運送業</v>
          </cell>
        </row>
        <row r="272">
          <cell r="Q272" t="str">
            <v>444 集配利用運送業</v>
          </cell>
          <cell r="R272" t="str">
            <v>業務</v>
          </cell>
          <cell r="S272" t="str">
            <v>44 道路貨物運送業</v>
          </cell>
        </row>
        <row r="273">
          <cell r="Q273" t="str">
            <v>449 その他の道路貨物運送業</v>
          </cell>
          <cell r="R273" t="str">
            <v>業務</v>
          </cell>
          <cell r="S273" t="str">
            <v>44 道路貨物運送業</v>
          </cell>
        </row>
        <row r="274">
          <cell r="Q274" t="str">
            <v>450 管理，補助的経済活動を行う事業所（45水運業）</v>
          </cell>
          <cell r="R274" t="str">
            <v>業務</v>
          </cell>
          <cell r="S274" t="str">
            <v>45 水運業</v>
          </cell>
        </row>
        <row r="275">
          <cell r="Q275" t="str">
            <v>451 外航海運業</v>
          </cell>
          <cell r="R275" t="str">
            <v>業務</v>
          </cell>
          <cell r="S275" t="str">
            <v>45 水運業</v>
          </cell>
        </row>
        <row r="276">
          <cell r="Q276" t="str">
            <v>452 沿海海運業</v>
          </cell>
          <cell r="R276" t="str">
            <v>業務</v>
          </cell>
          <cell r="S276" t="str">
            <v>45 水運業</v>
          </cell>
        </row>
        <row r="277">
          <cell r="Q277" t="str">
            <v>453 内陸水運業</v>
          </cell>
          <cell r="R277" t="str">
            <v>業務</v>
          </cell>
          <cell r="S277" t="str">
            <v>45 水運業</v>
          </cell>
        </row>
        <row r="278">
          <cell r="Q278" t="str">
            <v>454 船舶貸渡業</v>
          </cell>
          <cell r="R278" t="str">
            <v>業務</v>
          </cell>
          <cell r="S278" t="str">
            <v>45 水運業</v>
          </cell>
        </row>
        <row r="279">
          <cell r="Q279" t="str">
            <v>460 管理，補助的経済活動を行う事業所（46航空運輸業）</v>
          </cell>
          <cell r="R279" t="str">
            <v>業務</v>
          </cell>
          <cell r="S279" t="str">
            <v>46 航空運輸業</v>
          </cell>
        </row>
        <row r="280">
          <cell r="Q280" t="str">
            <v>461 航空運送業</v>
          </cell>
          <cell r="R280" t="str">
            <v>業務</v>
          </cell>
          <cell r="S280" t="str">
            <v>46 航空運輸業</v>
          </cell>
        </row>
        <row r="281">
          <cell r="Q281" t="str">
            <v>462 航空機使用業（航空運送業を除く）</v>
          </cell>
          <cell r="R281" t="str">
            <v>業務</v>
          </cell>
          <cell r="S281" t="str">
            <v>46 航空運輸業</v>
          </cell>
        </row>
        <row r="282">
          <cell r="Q282" t="str">
            <v>470 管理，補助的経済活動を行う事業所（47倉庫業）</v>
          </cell>
          <cell r="R282" t="str">
            <v>業務</v>
          </cell>
          <cell r="S282" t="str">
            <v>47 倉庫業</v>
          </cell>
        </row>
        <row r="283">
          <cell r="Q283" t="str">
            <v>471 倉庫業（冷蔵倉庫業を除く）</v>
          </cell>
          <cell r="R283" t="str">
            <v>業務</v>
          </cell>
          <cell r="S283" t="str">
            <v>47 倉庫業</v>
          </cell>
        </row>
        <row r="284">
          <cell r="Q284" t="str">
            <v>472 冷蔵倉庫業</v>
          </cell>
          <cell r="R284" t="str">
            <v>業務</v>
          </cell>
          <cell r="S284" t="str">
            <v>47 倉庫業</v>
          </cell>
        </row>
        <row r="285">
          <cell r="Q285" t="str">
            <v>480 管理，補助的経済活動を行う事業所（48運輸に附帯するサービス業）</v>
          </cell>
          <cell r="R285" t="str">
            <v>業務</v>
          </cell>
          <cell r="S285" t="str">
            <v>48 運輸に附帯するサービス業</v>
          </cell>
        </row>
        <row r="286">
          <cell r="Q286" t="str">
            <v>481 港湾運送業</v>
          </cell>
          <cell r="R286" t="str">
            <v>業務</v>
          </cell>
          <cell r="S286" t="str">
            <v>48 運輸に附帯するサービス業</v>
          </cell>
        </row>
        <row r="287">
          <cell r="Q287" t="str">
            <v>482 貨物運送取扱業（集配利用運送業を除く）</v>
          </cell>
          <cell r="R287" t="str">
            <v>業務</v>
          </cell>
          <cell r="S287" t="str">
            <v>48 運輸に附帯するサービス業</v>
          </cell>
        </row>
        <row r="288">
          <cell r="Q288" t="str">
            <v>483 運送代理店</v>
          </cell>
          <cell r="R288" t="str">
            <v>業務</v>
          </cell>
          <cell r="S288" t="str">
            <v>48 運輸に附帯するサービス業</v>
          </cell>
        </row>
        <row r="289">
          <cell r="Q289" t="str">
            <v>484 こん包業</v>
          </cell>
          <cell r="R289" t="str">
            <v>業務</v>
          </cell>
          <cell r="S289" t="str">
            <v>48 運輸に附帯するサービス業</v>
          </cell>
        </row>
        <row r="290">
          <cell r="Q290" t="str">
            <v>485 運輸施設提供業</v>
          </cell>
          <cell r="R290" t="str">
            <v>業務</v>
          </cell>
          <cell r="S290" t="str">
            <v>48 運輸に附帯するサービス業</v>
          </cell>
        </row>
        <row r="291">
          <cell r="Q291" t="str">
            <v>489 その他の運輸に附帯するサービス業</v>
          </cell>
          <cell r="R291" t="str">
            <v>業務</v>
          </cell>
          <cell r="S291" t="str">
            <v>48 運輸に附帯するサービス業</v>
          </cell>
        </row>
        <row r="292">
          <cell r="Q292" t="str">
            <v>490 管理，補助的経済活動を行う事業所（49郵便業）</v>
          </cell>
          <cell r="R292" t="str">
            <v>業務</v>
          </cell>
          <cell r="S292" t="str">
            <v>49 郵便業（信書便事業を含む）</v>
          </cell>
        </row>
        <row r="293">
          <cell r="Q293" t="str">
            <v>491 郵便業（信書便事業を含む）</v>
          </cell>
          <cell r="R293" t="str">
            <v>業務</v>
          </cell>
          <cell r="S293" t="str">
            <v>49 郵便業（信書便事業を含む）</v>
          </cell>
        </row>
        <row r="294">
          <cell r="Q294" t="str">
            <v>500 管理，補助的経済活動を行う事業所（50各種商品卸売業）</v>
          </cell>
          <cell r="R294" t="str">
            <v>業務</v>
          </cell>
          <cell r="S294" t="str">
            <v>50 各種商品卸売業</v>
          </cell>
        </row>
        <row r="295">
          <cell r="Q295" t="str">
            <v>501 各種商品卸売業</v>
          </cell>
          <cell r="R295" t="str">
            <v>業務</v>
          </cell>
          <cell r="S295" t="str">
            <v>50 各種商品卸売業</v>
          </cell>
        </row>
        <row r="296">
          <cell r="Q296" t="str">
            <v>510 管理，補助的経済活動を行う事業所（51繊維・衣服等卸売業）</v>
          </cell>
          <cell r="R296" t="str">
            <v>業務</v>
          </cell>
          <cell r="S296" t="str">
            <v>51 繊維・衣服等卸売業</v>
          </cell>
        </row>
        <row r="297">
          <cell r="Q297" t="str">
            <v>511 繊維品卸売業（衣服，身の回り品を除く）</v>
          </cell>
          <cell r="R297" t="str">
            <v>業務</v>
          </cell>
          <cell r="S297" t="str">
            <v>51 繊維・衣服等卸売業</v>
          </cell>
        </row>
        <row r="298">
          <cell r="Q298" t="str">
            <v>512 衣服卸売業</v>
          </cell>
          <cell r="R298" t="str">
            <v>業務</v>
          </cell>
          <cell r="S298" t="str">
            <v>51 繊維・衣服等卸売業</v>
          </cell>
        </row>
        <row r="299">
          <cell r="Q299" t="str">
            <v>513 身の回り品卸売業</v>
          </cell>
          <cell r="R299" t="str">
            <v>業務</v>
          </cell>
          <cell r="S299" t="str">
            <v>51 繊維・衣服等卸売業</v>
          </cell>
        </row>
        <row r="300">
          <cell r="Q300" t="str">
            <v>520 管理，補助的経済活動を行う事業所（52飲食料品卸売業）</v>
          </cell>
          <cell r="R300" t="str">
            <v>業務</v>
          </cell>
          <cell r="S300" t="str">
            <v>52 飲食料品卸売業</v>
          </cell>
        </row>
        <row r="301">
          <cell r="Q301" t="str">
            <v>521 農畜産物・水産物卸売業</v>
          </cell>
          <cell r="R301" t="str">
            <v>業務</v>
          </cell>
          <cell r="S301" t="str">
            <v>52 飲食料品卸売業</v>
          </cell>
        </row>
        <row r="302">
          <cell r="Q302" t="str">
            <v>522 食料・飲料卸売業</v>
          </cell>
          <cell r="R302" t="str">
            <v>業務</v>
          </cell>
          <cell r="S302" t="str">
            <v>52 飲食料品卸売業</v>
          </cell>
        </row>
        <row r="303">
          <cell r="Q303" t="str">
            <v>530 管理，補助的経済活動を行う事業所（53建築材料，鉱物・金属材料等卸売業）</v>
          </cell>
          <cell r="R303" t="str">
            <v>業務</v>
          </cell>
          <cell r="S303" t="str">
            <v>53 建築材料，鉱物・金属材料等卸売業</v>
          </cell>
        </row>
        <row r="304">
          <cell r="Q304" t="str">
            <v>531 建築材料卸売業</v>
          </cell>
          <cell r="R304" t="str">
            <v>業務</v>
          </cell>
          <cell r="S304" t="str">
            <v>53 建築材料，鉱物・金属材料等卸売業</v>
          </cell>
        </row>
        <row r="305">
          <cell r="Q305" t="str">
            <v>532 化学製品卸売業</v>
          </cell>
          <cell r="R305" t="str">
            <v>業務</v>
          </cell>
          <cell r="S305" t="str">
            <v>53 建築材料，鉱物・金属材料等卸売業</v>
          </cell>
        </row>
        <row r="306">
          <cell r="Q306" t="str">
            <v>533 石油・鉱物卸売業</v>
          </cell>
          <cell r="R306" t="str">
            <v>業務</v>
          </cell>
          <cell r="S306" t="str">
            <v>53 建築材料，鉱物・金属材料等卸売業</v>
          </cell>
        </row>
        <row r="307">
          <cell r="Q307" t="str">
            <v>534 鉄鋼製品卸売業</v>
          </cell>
          <cell r="R307" t="str">
            <v>業務</v>
          </cell>
          <cell r="S307" t="str">
            <v>53 建築材料，鉱物・金属材料等卸売業</v>
          </cell>
        </row>
        <row r="308">
          <cell r="Q308" t="str">
            <v>535 非鉄金属卸売業</v>
          </cell>
          <cell r="R308" t="str">
            <v>業務</v>
          </cell>
          <cell r="S308" t="str">
            <v>53 建築材料，鉱物・金属材料等卸売業</v>
          </cell>
        </row>
        <row r="309">
          <cell r="Q309" t="str">
            <v>536 再生資源卸売業</v>
          </cell>
          <cell r="R309" t="str">
            <v>業務</v>
          </cell>
          <cell r="S309" t="str">
            <v>53 建築材料，鉱物・金属材料等卸売業</v>
          </cell>
        </row>
        <row r="310">
          <cell r="Q310" t="str">
            <v>540 管理，補助的経済活動を行う事業所（54機械器具卸売業）</v>
          </cell>
          <cell r="R310" t="str">
            <v>業務</v>
          </cell>
          <cell r="S310" t="str">
            <v>54 機械器具卸売業</v>
          </cell>
        </row>
        <row r="311">
          <cell r="Q311" t="str">
            <v>541 産業機械器具卸売業</v>
          </cell>
          <cell r="R311" t="str">
            <v>業務</v>
          </cell>
          <cell r="S311" t="str">
            <v>54 機械器具卸売業</v>
          </cell>
        </row>
        <row r="312">
          <cell r="Q312" t="str">
            <v>542 自動車卸売業</v>
          </cell>
          <cell r="R312" t="str">
            <v>業務</v>
          </cell>
          <cell r="S312" t="str">
            <v>54 機械器具卸売業</v>
          </cell>
        </row>
        <row r="313">
          <cell r="Q313" t="str">
            <v>543 電気機械器具卸売業</v>
          </cell>
          <cell r="R313" t="str">
            <v>業務</v>
          </cell>
          <cell r="S313" t="str">
            <v>54 機械器具卸売業</v>
          </cell>
        </row>
        <row r="314">
          <cell r="Q314" t="str">
            <v>549 その他の機械器具卸売業</v>
          </cell>
          <cell r="R314" t="str">
            <v>業務</v>
          </cell>
          <cell r="S314" t="str">
            <v>54 機械器具卸売業</v>
          </cell>
        </row>
        <row r="315">
          <cell r="Q315" t="str">
            <v>550 管理，補助的経済活動を行う事業所（55その他の卸売業）</v>
          </cell>
          <cell r="R315" t="str">
            <v>業務</v>
          </cell>
          <cell r="S315" t="str">
            <v>55 その他の卸売業</v>
          </cell>
        </row>
        <row r="316">
          <cell r="Q316" t="str">
            <v>551 家具・建具・じゅう器等卸売業</v>
          </cell>
          <cell r="R316" t="str">
            <v>業務</v>
          </cell>
          <cell r="S316" t="str">
            <v>55 その他の卸売業</v>
          </cell>
        </row>
        <row r="317">
          <cell r="Q317" t="str">
            <v>552 医薬品・化粧品等卸売業</v>
          </cell>
          <cell r="R317" t="str">
            <v>業務</v>
          </cell>
          <cell r="S317" t="str">
            <v>55 その他の卸売業</v>
          </cell>
        </row>
        <row r="318">
          <cell r="Q318" t="str">
            <v>553 紙・紙製品卸売業</v>
          </cell>
          <cell r="R318" t="str">
            <v>業務</v>
          </cell>
          <cell r="S318" t="str">
            <v>55 その他の卸売業</v>
          </cell>
        </row>
        <row r="319">
          <cell r="Q319" t="str">
            <v>559 他に分類されない卸売業</v>
          </cell>
          <cell r="R319" t="str">
            <v>業務</v>
          </cell>
          <cell r="S319" t="str">
            <v>55 その他の卸売業</v>
          </cell>
        </row>
        <row r="320">
          <cell r="Q320" t="str">
            <v>560 管理，補助的経済活動を行う事業所（56各種商品小売業）</v>
          </cell>
          <cell r="R320" t="str">
            <v>業務</v>
          </cell>
          <cell r="S320" t="str">
            <v>56 各種商品小売業</v>
          </cell>
        </row>
        <row r="321">
          <cell r="Q321" t="str">
            <v>561 百貨店，総合スーパー</v>
          </cell>
          <cell r="R321" t="str">
            <v>業務</v>
          </cell>
          <cell r="S321" t="str">
            <v>56 各種商品小売業</v>
          </cell>
        </row>
        <row r="322">
          <cell r="Q322" t="str">
            <v>569 その他の各種商品小売業（従業者が常時50人未満のもの）</v>
          </cell>
          <cell r="R322" t="str">
            <v>業務</v>
          </cell>
          <cell r="S322" t="str">
            <v>56 各種商品小売業</v>
          </cell>
        </row>
        <row r="323">
          <cell r="Q323" t="str">
            <v>570 管理，補助的経済活動を行う事業所（57織物・衣服・身の回り品小売業）</v>
          </cell>
          <cell r="R323" t="str">
            <v>業務</v>
          </cell>
          <cell r="S323" t="str">
            <v>57 織物・衣服・身の回り品小売業</v>
          </cell>
        </row>
        <row r="324">
          <cell r="Q324" t="str">
            <v>571 呉服・服地・寝具小売業</v>
          </cell>
          <cell r="R324" t="str">
            <v>業務</v>
          </cell>
          <cell r="S324" t="str">
            <v>57 織物・衣服・身の回り品小売業</v>
          </cell>
        </row>
        <row r="325">
          <cell r="Q325" t="str">
            <v>572 男子服小売業</v>
          </cell>
          <cell r="R325" t="str">
            <v>業務</v>
          </cell>
          <cell r="S325" t="str">
            <v>57 織物・衣服・身の回り品小売業</v>
          </cell>
        </row>
        <row r="326">
          <cell r="Q326" t="str">
            <v>573 婦人・子供服小売業</v>
          </cell>
          <cell r="R326" t="str">
            <v>業務</v>
          </cell>
          <cell r="S326" t="str">
            <v>57 織物・衣服・身の回り品小売業</v>
          </cell>
        </row>
        <row r="327">
          <cell r="Q327" t="str">
            <v>574 靴・履物小売業</v>
          </cell>
          <cell r="R327" t="str">
            <v>業務</v>
          </cell>
          <cell r="S327" t="str">
            <v>57 織物・衣服・身の回り品小売業</v>
          </cell>
        </row>
        <row r="328">
          <cell r="Q328" t="str">
            <v>579 その他の織物・衣服・身の回り品小売業</v>
          </cell>
          <cell r="R328" t="str">
            <v>業務</v>
          </cell>
          <cell r="S328" t="str">
            <v>57 織物・衣服・身の回り品小売業</v>
          </cell>
        </row>
        <row r="329">
          <cell r="Q329" t="str">
            <v>580 管理，補助的経済活動を行う事業所（58飲食料品小売業）</v>
          </cell>
          <cell r="R329" t="str">
            <v>業務</v>
          </cell>
          <cell r="S329" t="str">
            <v>58 飲食料品小売業</v>
          </cell>
        </row>
        <row r="330">
          <cell r="Q330" t="str">
            <v>581 各種食料品小売業</v>
          </cell>
          <cell r="R330" t="str">
            <v>業務</v>
          </cell>
          <cell r="S330" t="str">
            <v>58 飲食料品小売業</v>
          </cell>
        </row>
        <row r="331">
          <cell r="Q331" t="str">
            <v>582 野菜・果実小売業</v>
          </cell>
          <cell r="R331" t="str">
            <v>業務</v>
          </cell>
          <cell r="S331" t="str">
            <v>58 飲食料品小売業</v>
          </cell>
        </row>
        <row r="332">
          <cell r="Q332" t="str">
            <v>583 食肉小売業</v>
          </cell>
          <cell r="R332" t="str">
            <v>業務</v>
          </cell>
          <cell r="S332" t="str">
            <v>58 飲食料品小売業</v>
          </cell>
        </row>
        <row r="333">
          <cell r="Q333" t="str">
            <v>584 鮮魚小売業</v>
          </cell>
          <cell r="R333" t="str">
            <v>業務</v>
          </cell>
          <cell r="S333" t="str">
            <v>58 飲食料品小売業</v>
          </cell>
        </row>
        <row r="334">
          <cell r="Q334" t="str">
            <v>585 酒小売業</v>
          </cell>
          <cell r="R334" t="str">
            <v>業務</v>
          </cell>
          <cell r="S334" t="str">
            <v>58 飲食料品小売業</v>
          </cell>
        </row>
        <row r="335">
          <cell r="Q335" t="str">
            <v>586 菓子・パン小売業</v>
          </cell>
          <cell r="R335" t="str">
            <v>業務</v>
          </cell>
          <cell r="S335" t="str">
            <v>58 飲食料品小売業</v>
          </cell>
        </row>
        <row r="336">
          <cell r="Q336" t="str">
            <v>589 その他の飲食料品小売業</v>
          </cell>
          <cell r="R336" t="str">
            <v>業務</v>
          </cell>
          <cell r="S336" t="str">
            <v>58 飲食料品小売業</v>
          </cell>
        </row>
        <row r="337">
          <cell r="Q337" t="str">
            <v>590 管理，補助的経済活動を行う事業所（59機械器具小売業）</v>
          </cell>
          <cell r="R337" t="str">
            <v>業務</v>
          </cell>
          <cell r="S337" t="str">
            <v>59 機械器具小売業</v>
          </cell>
        </row>
        <row r="338">
          <cell r="Q338" t="str">
            <v>591 自動車小売業</v>
          </cell>
          <cell r="R338" t="str">
            <v>業務</v>
          </cell>
          <cell r="S338" t="str">
            <v>59 機械器具小売業</v>
          </cell>
        </row>
        <row r="339">
          <cell r="Q339" t="str">
            <v>592 自転車小売業</v>
          </cell>
          <cell r="R339" t="str">
            <v>業務</v>
          </cell>
          <cell r="S339" t="str">
            <v>59 機械器具小売業</v>
          </cell>
        </row>
        <row r="340">
          <cell r="Q340" t="str">
            <v>593 機械器具小売業（自動車，自転車を除く）</v>
          </cell>
          <cell r="R340" t="str">
            <v>業務</v>
          </cell>
          <cell r="S340" t="str">
            <v>59 機械器具小売業</v>
          </cell>
        </row>
        <row r="341">
          <cell r="Q341" t="str">
            <v>600 管理，補助的経済活動を行う事業所（60その他の小売業）</v>
          </cell>
          <cell r="R341" t="str">
            <v>業務</v>
          </cell>
          <cell r="S341" t="str">
            <v>60 その他の小売業</v>
          </cell>
        </row>
        <row r="342">
          <cell r="Q342" t="str">
            <v>601 家具・建具・畳小売業</v>
          </cell>
          <cell r="R342" t="str">
            <v>業務</v>
          </cell>
          <cell r="S342" t="str">
            <v>60 その他の小売業</v>
          </cell>
        </row>
        <row r="343">
          <cell r="Q343" t="str">
            <v>602 じゅう器小売業</v>
          </cell>
          <cell r="R343" t="str">
            <v>業務</v>
          </cell>
          <cell r="S343" t="str">
            <v>60 その他の小売業</v>
          </cell>
        </row>
        <row r="344">
          <cell r="Q344" t="str">
            <v>603 医薬品・化粧品小売業</v>
          </cell>
          <cell r="R344" t="str">
            <v>業務</v>
          </cell>
          <cell r="S344" t="str">
            <v>60 その他の小売業</v>
          </cell>
        </row>
        <row r="345">
          <cell r="Q345" t="str">
            <v>604 農耕用品小売業</v>
          </cell>
          <cell r="R345" t="str">
            <v>業務</v>
          </cell>
          <cell r="S345" t="str">
            <v>60 その他の小売業</v>
          </cell>
        </row>
        <row r="346">
          <cell r="Q346" t="str">
            <v>605 燃料小売業</v>
          </cell>
          <cell r="R346" t="str">
            <v>業務</v>
          </cell>
          <cell r="S346" t="str">
            <v>60 その他の小売業</v>
          </cell>
        </row>
        <row r="347">
          <cell r="Q347" t="str">
            <v>606 書籍・文房具小売業</v>
          </cell>
          <cell r="R347" t="str">
            <v>業務</v>
          </cell>
          <cell r="S347" t="str">
            <v>60 その他の小売業</v>
          </cell>
        </row>
        <row r="348">
          <cell r="Q348" t="str">
            <v>607 スポーツ用品・がん具・娯楽用品・楽器小売業</v>
          </cell>
          <cell r="R348" t="str">
            <v>業務</v>
          </cell>
          <cell r="S348" t="str">
            <v>60 その他の小売業</v>
          </cell>
        </row>
        <row r="349">
          <cell r="Q349" t="str">
            <v>608 写真機・時計・眼鏡小売業</v>
          </cell>
          <cell r="R349" t="str">
            <v>業務</v>
          </cell>
          <cell r="S349" t="str">
            <v>60 その他の小売業</v>
          </cell>
        </row>
        <row r="350">
          <cell r="Q350" t="str">
            <v>609 他に分類されない小売業</v>
          </cell>
          <cell r="R350" t="str">
            <v>業務</v>
          </cell>
          <cell r="S350" t="str">
            <v>60 その他の小売業</v>
          </cell>
        </row>
        <row r="351">
          <cell r="Q351" t="str">
            <v>610 管理，補助的経済活動を行う事業所（61無店舗小売業）</v>
          </cell>
          <cell r="R351" t="str">
            <v>業務</v>
          </cell>
          <cell r="S351" t="str">
            <v>61 無店舗小売業</v>
          </cell>
        </row>
        <row r="352">
          <cell r="Q352" t="str">
            <v>611 通信販売・訪問販売小売業</v>
          </cell>
          <cell r="R352" t="str">
            <v>業務</v>
          </cell>
          <cell r="S352" t="str">
            <v>61 無店舗小売業</v>
          </cell>
        </row>
        <row r="353">
          <cell r="Q353" t="str">
            <v>612 自動販売機による小売業</v>
          </cell>
          <cell r="R353" t="str">
            <v>業務</v>
          </cell>
          <cell r="S353" t="str">
            <v>61 無店舗小売業</v>
          </cell>
        </row>
        <row r="354">
          <cell r="Q354" t="str">
            <v>619 その他の無店舗小売業</v>
          </cell>
          <cell r="R354" t="str">
            <v>業務</v>
          </cell>
          <cell r="S354" t="str">
            <v>61 無店舗小売業</v>
          </cell>
        </row>
        <row r="355">
          <cell r="Q355" t="str">
            <v>620 管理，補助的経済活動を行う事業所（62銀行業）</v>
          </cell>
          <cell r="R355" t="str">
            <v>業務</v>
          </cell>
          <cell r="S355" t="str">
            <v>62 銀行業</v>
          </cell>
        </row>
        <row r="356">
          <cell r="Q356" t="str">
            <v>621 中央銀行</v>
          </cell>
          <cell r="R356" t="str">
            <v>業務</v>
          </cell>
          <cell r="S356" t="str">
            <v>62 銀行業</v>
          </cell>
        </row>
        <row r="357">
          <cell r="Q357" t="str">
            <v>622 銀行（中央銀行を除く）</v>
          </cell>
          <cell r="R357" t="str">
            <v>業務</v>
          </cell>
          <cell r="S357" t="str">
            <v>62 銀行業</v>
          </cell>
        </row>
        <row r="358">
          <cell r="Q358" t="str">
            <v>630 管理，補助的経済活動を行う事業所（63協同組織金融業）</v>
          </cell>
          <cell r="R358" t="str">
            <v>業務</v>
          </cell>
          <cell r="S358" t="str">
            <v>63 協同組織金融業</v>
          </cell>
        </row>
        <row r="359">
          <cell r="Q359" t="str">
            <v>631 中小企業等金融業</v>
          </cell>
          <cell r="R359" t="str">
            <v>業務</v>
          </cell>
          <cell r="S359" t="str">
            <v>63 協同組織金融業</v>
          </cell>
        </row>
        <row r="360">
          <cell r="Q360" t="str">
            <v>632 農林水産金融業</v>
          </cell>
          <cell r="R360" t="str">
            <v>業務</v>
          </cell>
          <cell r="S360" t="str">
            <v>63 協同組織金融業</v>
          </cell>
        </row>
        <row r="361">
          <cell r="Q361" t="str">
            <v>640 管理，補助的経済活動を行う事業所（64貸金業，クレジットカード業等非預金信用機関）</v>
          </cell>
          <cell r="R361" t="str">
            <v>業務</v>
          </cell>
          <cell r="S361" t="str">
            <v>64 貸金業，クレジットカード業等非預金信用機関</v>
          </cell>
        </row>
        <row r="362">
          <cell r="Q362" t="str">
            <v>641 貸金業</v>
          </cell>
          <cell r="R362" t="str">
            <v>業務</v>
          </cell>
          <cell r="S362" t="str">
            <v>64 貸金業，クレジットカード業等非預金信用機関</v>
          </cell>
        </row>
        <row r="363">
          <cell r="Q363" t="str">
            <v>642 質屋</v>
          </cell>
          <cell r="R363" t="str">
            <v>業務</v>
          </cell>
          <cell r="S363" t="str">
            <v>64 貸金業，クレジットカード業等非預金信用機関</v>
          </cell>
        </row>
        <row r="364">
          <cell r="Q364" t="str">
            <v>643 クレジットカード業，割賦金融業</v>
          </cell>
          <cell r="R364" t="str">
            <v>業務</v>
          </cell>
          <cell r="S364" t="str">
            <v>64 貸金業，クレジットカード業等非預金信用機関</v>
          </cell>
        </row>
        <row r="365">
          <cell r="Q365" t="str">
            <v>649 その他の非預金信用機関</v>
          </cell>
          <cell r="R365" t="str">
            <v>業務</v>
          </cell>
          <cell r="S365" t="str">
            <v>64 貸金業，クレジットカード業等非預金信用機関</v>
          </cell>
        </row>
        <row r="366">
          <cell r="Q366" t="str">
            <v>650 管理，補助的経済活動を行う事業所（65金融商品取引業，商品先物取引業）</v>
          </cell>
          <cell r="R366" t="str">
            <v>業務</v>
          </cell>
          <cell r="S366" t="str">
            <v>65 金融商品取引業，商品先物取引業</v>
          </cell>
        </row>
        <row r="367">
          <cell r="Q367" t="str">
            <v>651 金融商品取引業</v>
          </cell>
          <cell r="R367" t="str">
            <v>業務</v>
          </cell>
          <cell r="S367" t="str">
            <v>65 金融商品取引業，商品先物取引業</v>
          </cell>
        </row>
        <row r="368">
          <cell r="Q368" t="str">
            <v>652 商品先物取引業，商品投資顧問業</v>
          </cell>
          <cell r="R368" t="str">
            <v>業務</v>
          </cell>
          <cell r="S368" t="str">
            <v>65 金融商品取引業，商品先物取引業</v>
          </cell>
        </row>
        <row r="369">
          <cell r="Q369" t="str">
            <v>660 管理，補助的経済活動を行う事業所（66補助的金融業等）</v>
          </cell>
          <cell r="R369" t="str">
            <v>業務</v>
          </cell>
          <cell r="S369" t="str">
            <v>66 補助的金融業等</v>
          </cell>
        </row>
        <row r="370">
          <cell r="Q370" t="str">
            <v>661 補助的金融業，金融附帯業</v>
          </cell>
          <cell r="R370" t="str">
            <v>業務</v>
          </cell>
          <cell r="S370" t="str">
            <v>66 補助的金融業等</v>
          </cell>
        </row>
        <row r="371">
          <cell r="Q371" t="str">
            <v>662 信託業</v>
          </cell>
          <cell r="R371" t="str">
            <v>業務</v>
          </cell>
          <cell r="S371" t="str">
            <v>66 補助的金融業等</v>
          </cell>
        </row>
        <row r="372">
          <cell r="Q372" t="str">
            <v>663 金融代理業</v>
          </cell>
          <cell r="R372" t="str">
            <v>業務</v>
          </cell>
          <cell r="S372" t="str">
            <v>66 補助的金融業等</v>
          </cell>
        </row>
        <row r="373">
          <cell r="Q373" t="str">
            <v>670 管理，補助的経済活動を行う事業所（67保険業）</v>
          </cell>
          <cell r="R373" t="str">
            <v>業務</v>
          </cell>
          <cell r="S373" t="str">
            <v>67 保険業（保険媒介代理業，保険サービス業を含む）</v>
          </cell>
        </row>
        <row r="374">
          <cell r="Q374" t="str">
            <v>671 生命保険業</v>
          </cell>
          <cell r="R374" t="str">
            <v>業務</v>
          </cell>
          <cell r="S374" t="str">
            <v>67 保険業（保険媒介代理業，保険サービス業を含む）</v>
          </cell>
        </row>
        <row r="375">
          <cell r="Q375" t="str">
            <v>672 損害保険業</v>
          </cell>
          <cell r="R375" t="str">
            <v>業務</v>
          </cell>
          <cell r="S375" t="str">
            <v>67 保険業（保険媒介代理業，保険サービス業を含む）</v>
          </cell>
        </row>
        <row r="376">
          <cell r="Q376" t="str">
            <v>673 共済事業，少額短期保険業</v>
          </cell>
          <cell r="R376" t="str">
            <v>業務</v>
          </cell>
          <cell r="S376" t="str">
            <v>67 保険業（保険媒介代理業，保険サービス業を含む）</v>
          </cell>
        </row>
        <row r="377">
          <cell r="Q377" t="str">
            <v>674 保険媒介代理業</v>
          </cell>
          <cell r="R377" t="str">
            <v>業務</v>
          </cell>
          <cell r="S377" t="str">
            <v>67 保険業（保険媒介代理業，保険サービス業を含む）</v>
          </cell>
        </row>
        <row r="378">
          <cell r="Q378" t="str">
            <v>675 保険サービス業</v>
          </cell>
          <cell r="R378" t="str">
            <v>業務</v>
          </cell>
          <cell r="S378" t="str">
            <v>67 保険業（保険媒介代理業，保険サービス業を含む）</v>
          </cell>
        </row>
        <row r="379">
          <cell r="Q379" t="str">
            <v>680 管理，補助的経済活動を行う事業所（68不動産取引業）</v>
          </cell>
          <cell r="R379" t="str">
            <v>業務</v>
          </cell>
          <cell r="S379" t="str">
            <v>68 不動産取引業</v>
          </cell>
        </row>
        <row r="380">
          <cell r="Q380" t="str">
            <v>681 建物売買業，土地売買業</v>
          </cell>
          <cell r="R380" t="str">
            <v>業務</v>
          </cell>
          <cell r="S380" t="str">
            <v>68 不動産取引業</v>
          </cell>
        </row>
        <row r="381">
          <cell r="Q381" t="str">
            <v>682 不動産代理業・仲介業</v>
          </cell>
          <cell r="R381" t="str">
            <v>業務</v>
          </cell>
          <cell r="S381" t="str">
            <v>68 不動産取引業</v>
          </cell>
        </row>
        <row r="382">
          <cell r="Q382" t="str">
            <v>690 管理，補助的経済活動を行う事業所（69不動産賃貸業・管理業）</v>
          </cell>
          <cell r="R382" t="str">
            <v>業務</v>
          </cell>
          <cell r="S382" t="str">
            <v>69 不動産賃貸業・管理業</v>
          </cell>
        </row>
        <row r="383">
          <cell r="Q383" t="str">
            <v>691 不動産賃貸業（貸家業，貸間業を除く）</v>
          </cell>
          <cell r="R383" t="str">
            <v>業務</v>
          </cell>
          <cell r="S383" t="str">
            <v>69 不動産賃貸業・管理業</v>
          </cell>
        </row>
        <row r="384">
          <cell r="Q384" t="str">
            <v>692 貸家業，貸間業</v>
          </cell>
          <cell r="R384" t="str">
            <v>業務</v>
          </cell>
          <cell r="S384" t="str">
            <v>69 不動産賃貸業・管理業</v>
          </cell>
        </row>
        <row r="385">
          <cell r="Q385" t="str">
            <v>693 駐車場業</v>
          </cell>
          <cell r="R385" t="str">
            <v>業務</v>
          </cell>
          <cell r="S385" t="str">
            <v>69 不動産賃貸業・管理業</v>
          </cell>
        </row>
        <row r="386">
          <cell r="Q386" t="str">
            <v>694 不動産管理業</v>
          </cell>
          <cell r="R386" t="str">
            <v>業務</v>
          </cell>
          <cell r="S386" t="str">
            <v>69 不動産賃貸業・管理業</v>
          </cell>
        </row>
        <row r="387">
          <cell r="Q387" t="str">
            <v>700 管理，補助的経済活動を行う事業所（70物品賃貸業）</v>
          </cell>
          <cell r="R387" t="str">
            <v>業務</v>
          </cell>
          <cell r="S387" t="str">
            <v>70 物品賃貸業</v>
          </cell>
        </row>
        <row r="388">
          <cell r="Q388" t="str">
            <v>701 各種物品賃貸業</v>
          </cell>
          <cell r="R388" t="str">
            <v>業務</v>
          </cell>
          <cell r="S388" t="str">
            <v>70 物品賃貸業</v>
          </cell>
        </row>
        <row r="389">
          <cell r="Q389" t="str">
            <v>702 産業用機械器具賃貸業</v>
          </cell>
          <cell r="R389" t="str">
            <v>業務</v>
          </cell>
          <cell r="S389" t="str">
            <v>70 物品賃貸業</v>
          </cell>
        </row>
        <row r="390">
          <cell r="Q390" t="str">
            <v>703 事務用機械器具賃貸業</v>
          </cell>
          <cell r="R390" t="str">
            <v>業務</v>
          </cell>
          <cell r="S390" t="str">
            <v>70 物品賃貸業</v>
          </cell>
        </row>
        <row r="391">
          <cell r="Q391" t="str">
            <v>704 自動車賃貸業</v>
          </cell>
          <cell r="R391" t="str">
            <v>業務</v>
          </cell>
          <cell r="S391" t="str">
            <v>70 物品賃貸業</v>
          </cell>
        </row>
        <row r="392">
          <cell r="Q392" t="str">
            <v>705 スポーツ・娯楽用品賃貸業</v>
          </cell>
          <cell r="R392" t="str">
            <v>業務</v>
          </cell>
          <cell r="S392" t="str">
            <v>70 物品賃貸業</v>
          </cell>
        </row>
        <row r="393">
          <cell r="Q393" t="str">
            <v>709 その他の物品賃貸業</v>
          </cell>
          <cell r="R393" t="str">
            <v>業務</v>
          </cell>
          <cell r="S393" t="str">
            <v>70 物品賃貸業</v>
          </cell>
        </row>
        <row r="394">
          <cell r="Q394" t="str">
            <v>710 管理，補助的経済活動を行う事業所（71学術・開発研究機関）</v>
          </cell>
          <cell r="R394" t="str">
            <v>業務</v>
          </cell>
          <cell r="S394" t="str">
            <v>71 学術・開発研究機関</v>
          </cell>
        </row>
        <row r="395">
          <cell r="Q395" t="str">
            <v>711 自然科学研究所</v>
          </cell>
          <cell r="R395" t="str">
            <v>業務</v>
          </cell>
          <cell r="S395" t="str">
            <v>71 学術・開発研究機関</v>
          </cell>
        </row>
        <row r="396">
          <cell r="Q396" t="str">
            <v>712 人文・社会科学研究所</v>
          </cell>
          <cell r="R396" t="str">
            <v>業務</v>
          </cell>
          <cell r="S396" t="str">
            <v>71 学術・開発研究機関</v>
          </cell>
        </row>
        <row r="397">
          <cell r="Q397" t="str">
            <v>720 管理，補助的経済活動を行う事業所（72専門サービス業）</v>
          </cell>
          <cell r="R397" t="str">
            <v>業務</v>
          </cell>
          <cell r="S397" t="str">
            <v>72 専門サービス業（他に分類されないもの）</v>
          </cell>
        </row>
        <row r="398">
          <cell r="Q398" t="str">
            <v>721 法律事務所，特許事務所</v>
          </cell>
          <cell r="R398" t="str">
            <v>業務</v>
          </cell>
          <cell r="S398" t="str">
            <v>72 専門サービス業（他に分類されないもの）</v>
          </cell>
        </row>
        <row r="399">
          <cell r="Q399" t="str">
            <v>722 公証人役場，司法書士事務所，土地家屋調査士事務所</v>
          </cell>
          <cell r="R399" t="str">
            <v>業務</v>
          </cell>
          <cell r="S399" t="str">
            <v>72 専門サービス業（他に分類されないもの）</v>
          </cell>
        </row>
        <row r="400">
          <cell r="Q400" t="str">
            <v>723 行政書士事務所</v>
          </cell>
          <cell r="R400" t="str">
            <v>業務</v>
          </cell>
          <cell r="S400" t="str">
            <v>72 専門サービス業（他に分類されないもの）</v>
          </cell>
        </row>
        <row r="401">
          <cell r="Q401" t="str">
            <v>724 公認会計士事務所，税理士事務所</v>
          </cell>
          <cell r="R401" t="str">
            <v>業務</v>
          </cell>
          <cell r="S401" t="str">
            <v>72 専門サービス業（他に分類されないもの）</v>
          </cell>
        </row>
        <row r="402">
          <cell r="Q402" t="str">
            <v>725 社会保険労務士事務所</v>
          </cell>
          <cell r="R402" t="str">
            <v>業務</v>
          </cell>
          <cell r="S402" t="str">
            <v>72 専門サービス業（他に分類されないもの）</v>
          </cell>
        </row>
        <row r="403">
          <cell r="Q403" t="str">
            <v>726 デザイン業</v>
          </cell>
          <cell r="R403" t="str">
            <v>業務</v>
          </cell>
          <cell r="S403" t="str">
            <v>72 専門サービス業（他に分類されないもの）</v>
          </cell>
        </row>
        <row r="404">
          <cell r="Q404" t="str">
            <v>727 著述・芸術家業</v>
          </cell>
          <cell r="R404" t="str">
            <v>業務</v>
          </cell>
          <cell r="S404" t="str">
            <v>72 専門サービス業（他に分類されないもの）</v>
          </cell>
        </row>
        <row r="405">
          <cell r="Q405" t="str">
            <v>728 経営コンサルタント業，純粋持株会社</v>
          </cell>
          <cell r="R405" t="str">
            <v>業務</v>
          </cell>
          <cell r="S405" t="str">
            <v>72 専門サービス業（他に分類されないもの）</v>
          </cell>
        </row>
        <row r="406">
          <cell r="Q406" t="str">
            <v>729 その他の専門サービス業</v>
          </cell>
          <cell r="R406" t="str">
            <v>業務</v>
          </cell>
          <cell r="S406" t="str">
            <v>72 専門サービス業（他に分類されないもの）</v>
          </cell>
        </row>
        <row r="407">
          <cell r="Q407" t="str">
            <v>730 管理，補助的経済活動を行う事業所（73広告業）</v>
          </cell>
          <cell r="R407" t="str">
            <v>業務</v>
          </cell>
          <cell r="S407" t="str">
            <v>73 広告業</v>
          </cell>
        </row>
        <row r="408">
          <cell r="Q408" t="str">
            <v>731 広告業</v>
          </cell>
          <cell r="R408" t="str">
            <v>業務</v>
          </cell>
          <cell r="S408" t="str">
            <v>73 広告業</v>
          </cell>
        </row>
        <row r="409">
          <cell r="Q409" t="str">
            <v>740 管理，補助的経済活動を行う事業所（74技術サービス業）</v>
          </cell>
          <cell r="R409" t="str">
            <v>業務</v>
          </cell>
          <cell r="S409" t="str">
            <v>74 技術サービス業（他に分類されないもの）</v>
          </cell>
        </row>
        <row r="410">
          <cell r="Q410" t="str">
            <v>741 獣医業</v>
          </cell>
          <cell r="R410" t="str">
            <v>業務</v>
          </cell>
          <cell r="S410" t="str">
            <v>74 技術サービス業（他に分類されないもの）</v>
          </cell>
        </row>
        <row r="411">
          <cell r="Q411" t="str">
            <v>742 土木建築サービス業</v>
          </cell>
          <cell r="R411" t="str">
            <v>業務</v>
          </cell>
          <cell r="S411" t="str">
            <v>74 技術サービス業（他に分類されないもの）</v>
          </cell>
        </row>
        <row r="412">
          <cell r="Q412" t="str">
            <v>743 機械設計業</v>
          </cell>
          <cell r="R412" t="str">
            <v>業務</v>
          </cell>
          <cell r="S412" t="str">
            <v>74 技術サービス業（他に分類されないもの）</v>
          </cell>
        </row>
        <row r="413">
          <cell r="Q413" t="str">
            <v>744 商品・非破壊検査業</v>
          </cell>
          <cell r="R413" t="str">
            <v>業務</v>
          </cell>
          <cell r="S413" t="str">
            <v>74 技術サービス業（他に分類されないもの）</v>
          </cell>
        </row>
        <row r="414">
          <cell r="Q414" t="str">
            <v>745 計量証明業</v>
          </cell>
          <cell r="R414" t="str">
            <v>業務</v>
          </cell>
          <cell r="S414" t="str">
            <v>74 技術サービス業（他に分類されないもの）</v>
          </cell>
        </row>
        <row r="415">
          <cell r="Q415" t="str">
            <v>746 写真業</v>
          </cell>
          <cell r="R415" t="str">
            <v>業務</v>
          </cell>
          <cell r="S415" t="str">
            <v>74 技術サービス業（他に分類されないもの）</v>
          </cell>
        </row>
        <row r="416">
          <cell r="Q416" t="str">
            <v>749 その他の技術サービス業</v>
          </cell>
          <cell r="R416" t="str">
            <v>業務</v>
          </cell>
          <cell r="S416" t="str">
            <v>74 技術サービス業（他に分類されないもの）</v>
          </cell>
        </row>
        <row r="417">
          <cell r="Q417" t="str">
            <v>750 管理，補助的経済活動を行う事業所（75宿泊業）</v>
          </cell>
          <cell r="R417" t="str">
            <v>業務</v>
          </cell>
          <cell r="S417" t="str">
            <v>75 宿泊業</v>
          </cell>
        </row>
        <row r="418">
          <cell r="Q418" t="str">
            <v>751 旅館，ホテル</v>
          </cell>
          <cell r="R418" t="str">
            <v>業務</v>
          </cell>
          <cell r="S418" t="str">
            <v>75 宿泊業</v>
          </cell>
        </row>
        <row r="419">
          <cell r="Q419" t="str">
            <v>752 簡易宿所</v>
          </cell>
          <cell r="R419" t="str">
            <v>業務</v>
          </cell>
          <cell r="S419" t="str">
            <v>75 宿泊業</v>
          </cell>
        </row>
        <row r="420">
          <cell r="Q420" t="str">
            <v>753 下宿業</v>
          </cell>
          <cell r="R420" t="str">
            <v>業務</v>
          </cell>
          <cell r="S420" t="str">
            <v>75 宿泊業</v>
          </cell>
        </row>
        <row r="421">
          <cell r="Q421" t="str">
            <v>759 その他の宿泊業</v>
          </cell>
          <cell r="R421" t="str">
            <v>業務</v>
          </cell>
          <cell r="S421" t="str">
            <v>75 宿泊業</v>
          </cell>
        </row>
        <row r="422">
          <cell r="Q422" t="str">
            <v>760 管理，補助的経済活動を行う事業所（76飲食店）</v>
          </cell>
          <cell r="R422" t="str">
            <v>業務</v>
          </cell>
          <cell r="S422" t="str">
            <v>76 飲食店</v>
          </cell>
        </row>
        <row r="423">
          <cell r="Q423" t="str">
            <v>761 食堂，レストラン（専門料理店を除く）</v>
          </cell>
          <cell r="R423" t="str">
            <v>業務</v>
          </cell>
          <cell r="S423" t="str">
            <v>76 飲食店</v>
          </cell>
        </row>
        <row r="424">
          <cell r="Q424" t="str">
            <v>762 専門料理店</v>
          </cell>
          <cell r="R424" t="str">
            <v>業務</v>
          </cell>
          <cell r="S424" t="str">
            <v>76 飲食店</v>
          </cell>
        </row>
        <row r="425">
          <cell r="Q425" t="str">
            <v>763 そば・うどん店</v>
          </cell>
          <cell r="R425" t="str">
            <v>業務</v>
          </cell>
          <cell r="S425" t="str">
            <v>76 飲食店</v>
          </cell>
        </row>
        <row r="426">
          <cell r="Q426" t="str">
            <v>764 すし店</v>
          </cell>
          <cell r="R426" t="str">
            <v>業務</v>
          </cell>
          <cell r="S426" t="str">
            <v>76 飲食店</v>
          </cell>
        </row>
        <row r="427">
          <cell r="Q427" t="str">
            <v>765 酒場，ビヤホール</v>
          </cell>
          <cell r="R427" t="str">
            <v>業務</v>
          </cell>
          <cell r="S427" t="str">
            <v>76 飲食店</v>
          </cell>
        </row>
        <row r="428">
          <cell r="Q428" t="str">
            <v>766 バー，キャバレー，ナイトクラブ</v>
          </cell>
          <cell r="R428" t="str">
            <v>業務</v>
          </cell>
          <cell r="S428" t="str">
            <v>76 飲食店</v>
          </cell>
        </row>
        <row r="429">
          <cell r="Q429" t="str">
            <v>767 喫茶店</v>
          </cell>
          <cell r="R429" t="str">
            <v>業務</v>
          </cell>
          <cell r="S429" t="str">
            <v>76 飲食店</v>
          </cell>
        </row>
        <row r="430">
          <cell r="Q430" t="str">
            <v>769 その他の飲食店</v>
          </cell>
          <cell r="R430" t="str">
            <v>業務</v>
          </cell>
          <cell r="S430" t="str">
            <v>76 飲食店</v>
          </cell>
        </row>
        <row r="431">
          <cell r="Q431" t="str">
            <v>770 管理，補助的経済活動を行う事業所（77持ち帰り・配達飲食サービス業）</v>
          </cell>
          <cell r="R431" t="str">
            <v>業務</v>
          </cell>
          <cell r="S431" t="str">
            <v>77 持ち帰り・配達飲食サービス業</v>
          </cell>
        </row>
        <row r="432">
          <cell r="Q432" t="str">
            <v>771 持ち帰り飲食サービス業</v>
          </cell>
          <cell r="R432" t="str">
            <v>業務</v>
          </cell>
          <cell r="S432" t="str">
            <v>77 持ち帰り・配達飲食サービス業</v>
          </cell>
        </row>
        <row r="433">
          <cell r="Q433" t="str">
            <v>772 配達飲食サービス業</v>
          </cell>
          <cell r="R433" t="str">
            <v>業務</v>
          </cell>
          <cell r="S433" t="str">
            <v>77 持ち帰り・配達飲食サービス業</v>
          </cell>
        </row>
        <row r="434">
          <cell r="Q434" t="str">
            <v>780 管理，補助的経済活動を行う事業所（78洗濯・理容・美容・浴場業）</v>
          </cell>
          <cell r="R434" t="str">
            <v>業務</v>
          </cell>
          <cell r="S434" t="str">
            <v>78 洗濯・理容・美容・浴場業</v>
          </cell>
        </row>
        <row r="435">
          <cell r="Q435" t="str">
            <v>781 洗濯業</v>
          </cell>
          <cell r="R435" t="str">
            <v>業務</v>
          </cell>
          <cell r="S435" t="str">
            <v>78 洗濯・理容・美容・浴場業</v>
          </cell>
        </row>
        <row r="436">
          <cell r="Q436" t="str">
            <v>782 理容業</v>
          </cell>
          <cell r="R436" t="str">
            <v>業務</v>
          </cell>
          <cell r="S436" t="str">
            <v>78 洗濯・理容・美容・浴場業</v>
          </cell>
        </row>
        <row r="437">
          <cell r="Q437" t="str">
            <v>783 美容業</v>
          </cell>
          <cell r="R437" t="str">
            <v>業務</v>
          </cell>
          <cell r="S437" t="str">
            <v>78 洗濯・理容・美容・浴場業</v>
          </cell>
        </row>
        <row r="438">
          <cell r="Q438" t="str">
            <v>784 一般公衆浴場業</v>
          </cell>
          <cell r="R438" t="str">
            <v>業務</v>
          </cell>
          <cell r="S438" t="str">
            <v>78 洗濯・理容・美容・浴場業</v>
          </cell>
        </row>
        <row r="439">
          <cell r="Q439" t="str">
            <v>785 その他の公衆浴場業</v>
          </cell>
          <cell r="R439" t="str">
            <v>業務</v>
          </cell>
          <cell r="S439" t="str">
            <v>78 洗濯・理容・美容・浴場業</v>
          </cell>
        </row>
        <row r="440">
          <cell r="Q440" t="str">
            <v>789 その他の洗濯・理容・美容・浴場業</v>
          </cell>
          <cell r="R440" t="str">
            <v>業務</v>
          </cell>
          <cell r="S440" t="str">
            <v>78 洗濯・理容・美容・浴場業</v>
          </cell>
        </row>
        <row r="441">
          <cell r="Q441" t="str">
            <v>790 管理，補助的経済活動を行う事業所（79その他の生活関連サービス業）</v>
          </cell>
          <cell r="R441" t="str">
            <v>業務</v>
          </cell>
          <cell r="S441" t="str">
            <v>79 その他の生活関連サービス業</v>
          </cell>
        </row>
        <row r="442">
          <cell r="Q442" t="str">
            <v>791 旅行業</v>
          </cell>
          <cell r="R442" t="str">
            <v>業務</v>
          </cell>
          <cell r="S442" t="str">
            <v>79 その他の生活関連サービス業</v>
          </cell>
        </row>
        <row r="443">
          <cell r="Q443" t="str">
            <v>792 家事サービス業</v>
          </cell>
          <cell r="R443" t="str">
            <v>業務</v>
          </cell>
          <cell r="S443" t="str">
            <v>79 その他の生活関連サービス業</v>
          </cell>
        </row>
        <row r="444">
          <cell r="Q444" t="str">
            <v>793 衣服裁縫修理業</v>
          </cell>
          <cell r="R444" t="str">
            <v>業務</v>
          </cell>
          <cell r="S444" t="str">
            <v>79 その他の生活関連サービス業</v>
          </cell>
        </row>
        <row r="445">
          <cell r="Q445" t="str">
            <v>794 物品預り業</v>
          </cell>
          <cell r="R445" t="str">
            <v>業務</v>
          </cell>
          <cell r="S445" t="str">
            <v>79 その他の生活関連サービス業</v>
          </cell>
        </row>
        <row r="446">
          <cell r="Q446" t="str">
            <v>795 火葬・墓地管理業</v>
          </cell>
          <cell r="R446" t="str">
            <v>業務</v>
          </cell>
          <cell r="S446" t="str">
            <v>79 その他の生活関連サービス業</v>
          </cell>
        </row>
        <row r="447">
          <cell r="Q447" t="str">
            <v>796 冠婚葬祭業</v>
          </cell>
          <cell r="R447" t="str">
            <v>業務</v>
          </cell>
          <cell r="S447" t="str">
            <v>79 その他の生活関連サービス業</v>
          </cell>
        </row>
        <row r="448">
          <cell r="Q448" t="str">
            <v>799 他に分類されない生活関連サービス業</v>
          </cell>
          <cell r="R448" t="str">
            <v>業務</v>
          </cell>
          <cell r="S448" t="str">
            <v>79 その他の生活関連サービス業</v>
          </cell>
        </row>
        <row r="449">
          <cell r="Q449" t="str">
            <v>800 管理，補助的経済活動を行う事業所（80娯楽業）</v>
          </cell>
          <cell r="R449" t="str">
            <v>業務</v>
          </cell>
          <cell r="S449" t="str">
            <v>80 娯楽業</v>
          </cell>
        </row>
        <row r="450">
          <cell r="Q450" t="str">
            <v>801 映画館</v>
          </cell>
          <cell r="R450" t="str">
            <v>業務</v>
          </cell>
          <cell r="S450" t="str">
            <v>80 娯楽業</v>
          </cell>
        </row>
        <row r="451">
          <cell r="Q451" t="str">
            <v>802 興行場（別掲を除く），興行団</v>
          </cell>
          <cell r="R451" t="str">
            <v>業務</v>
          </cell>
          <cell r="S451" t="str">
            <v>80 娯楽業</v>
          </cell>
        </row>
        <row r="452">
          <cell r="Q452" t="str">
            <v>803 競輪・競馬等の競走場，競技団</v>
          </cell>
          <cell r="R452" t="str">
            <v>業務</v>
          </cell>
          <cell r="S452" t="str">
            <v>80 娯楽業</v>
          </cell>
        </row>
        <row r="453">
          <cell r="Q453" t="str">
            <v>804 スポーツ施設提供業</v>
          </cell>
          <cell r="R453" t="str">
            <v>業務</v>
          </cell>
          <cell r="S453" t="str">
            <v>80 娯楽業</v>
          </cell>
        </row>
        <row r="454">
          <cell r="Q454" t="str">
            <v>805 公園，遊園地</v>
          </cell>
          <cell r="R454" t="str">
            <v>業務</v>
          </cell>
          <cell r="S454" t="str">
            <v>80 娯楽業</v>
          </cell>
        </row>
        <row r="455">
          <cell r="Q455" t="str">
            <v>806 遊戯場</v>
          </cell>
          <cell r="R455" t="str">
            <v>業務</v>
          </cell>
          <cell r="S455" t="str">
            <v>80 娯楽業</v>
          </cell>
        </row>
        <row r="456">
          <cell r="Q456" t="str">
            <v>809 その他の娯楽業</v>
          </cell>
          <cell r="R456" t="str">
            <v>業務</v>
          </cell>
          <cell r="S456" t="str">
            <v>80 娯楽業</v>
          </cell>
        </row>
        <row r="457">
          <cell r="Q457" t="str">
            <v>810 管理，補助的経済活動を行う事業所（81学校教育）</v>
          </cell>
          <cell r="R457" t="str">
            <v>業務</v>
          </cell>
          <cell r="S457" t="str">
            <v>81 学校教育</v>
          </cell>
        </row>
        <row r="458">
          <cell r="Q458" t="str">
            <v>811 幼稚園</v>
          </cell>
          <cell r="R458" t="str">
            <v>業務</v>
          </cell>
          <cell r="S458" t="str">
            <v>81 学校教育</v>
          </cell>
        </row>
        <row r="459">
          <cell r="Q459" t="str">
            <v>812 小学校</v>
          </cell>
          <cell r="R459" t="str">
            <v>業務</v>
          </cell>
          <cell r="S459" t="str">
            <v>81 学校教育</v>
          </cell>
        </row>
        <row r="460">
          <cell r="Q460" t="str">
            <v>813 中学校</v>
          </cell>
          <cell r="R460" t="str">
            <v>業務</v>
          </cell>
          <cell r="S460" t="str">
            <v>81 学校教育</v>
          </cell>
        </row>
        <row r="461">
          <cell r="Q461" t="str">
            <v>814 高等学校，中等教育学校</v>
          </cell>
          <cell r="R461" t="str">
            <v>業務</v>
          </cell>
          <cell r="S461" t="str">
            <v>81 学校教育</v>
          </cell>
        </row>
        <row r="462">
          <cell r="Q462" t="str">
            <v>815 特別支援学校</v>
          </cell>
          <cell r="R462" t="str">
            <v>業務</v>
          </cell>
          <cell r="S462" t="str">
            <v>81 学校教育</v>
          </cell>
        </row>
        <row r="463">
          <cell r="Q463" t="str">
            <v>816 高等教育機関</v>
          </cell>
          <cell r="R463" t="str">
            <v>業務</v>
          </cell>
          <cell r="S463" t="str">
            <v>81 学校教育</v>
          </cell>
        </row>
        <row r="464">
          <cell r="Q464" t="str">
            <v>817 専修学校，各種学校</v>
          </cell>
          <cell r="R464" t="str">
            <v>業務</v>
          </cell>
          <cell r="S464" t="str">
            <v>81 学校教育</v>
          </cell>
        </row>
        <row r="465">
          <cell r="Q465" t="str">
            <v>818 学校教育支援機関</v>
          </cell>
          <cell r="R465" t="str">
            <v>業務</v>
          </cell>
          <cell r="S465" t="str">
            <v>81 学校教育</v>
          </cell>
        </row>
        <row r="466">
          <cell r="Q466" t="str">
            <v>819 幼保連携型認定こども園</v>
          </cell>
          <cell r="R466" t="str">
            <v>業務</v>
          </cell>
          <cell r="S466" t="str">
            <v>81 学校教育</v>
          </cell>
        </row>
        <row r="467">
          <cell r="Q467" t="str">
            <v>820 管理，補助的経済活動を行う事業所（82その他の教育，学習支援業）</v>
          </cell>
          <cell r="R467" t="str">
            <v>業務</v>
          </cell>
          <cell r="S467" t="str">
            <v>82 その他の教育，学習支援業</v>
          </cell>
        </row>
        <row r="468">
          <cell r="Q468" t="str">
            <v>821 社会教育</v>
          </cell>
          <cell r="R468" t="str">
            <v>業務</v>
          </cell>
          <cell r="S468" t="str">
            <v>82 その他の教育，学習支援業</v>
          </cell>
        </row>
        <row r="469">
          <cell r="Q469" t="str">
            <v>822 職業・教育支援施設</v>
          </cell>
          <cell r="R469" t="str">
            <v>業務</v>
          </cell>
          <cell r="S469" t="str">
            <v>82 その他の教育，学習支援業</v>
          </cell>
        </row>
        <row r="470">
          <cell r="Q470" t="str">
            <v>823 学習塾</v>
          </cell>
          <cell r="R470" t="str">
            <v>業務</v>
          </cell>
          <cell r="S470" t="str">
            <v>82 その他の教育，学習支援業</v>
          </cell>
        </row>
        <row r="471">
          <cell r="Q471" t="str">
            <v>824 教養・技能教授業</v>
          </cell>
          <cell r="R471" t="str">
            <v>業務</v>
          </cell>
          <cell r="S471" t="str">
            <v>82 その他の教育，学習支援業</v>
          </cell>
        </row>
        <row r="472">
          <cell r="Q472" t="str">
            <v>829 他に分類されない教育，学習支援業</v>
          </cell>
          <cell r="R472" t="str">
            <v>業務</v>
          </cell>
          <cell r="S472" t="str">
            <v>82 その他の教育，学習支援業</v>
          </cell>
        </row>
        <row r="473">
          <cell r="Q473" t="str">
            <v>830 管理，補助的経済活動を行う事業所（83医療業）</v>
          </cell>
          <cell r="R473" t="str">
            <v>業務</v>
          </cell>
          <cell r="S473" t="str">
            <v>83 医療業</v>
          </cell>
        </row>
        <row r="474">
          <cell r="Q474" t="str">
            <v>831 病院</v>
          </cell>
          <cell r="R474" t="str">
            <v>業務</v>
          </cell>
          <cell r="S474" t="str">
            <v>83 医療業</v>
          </cell>
        </row>
        <row r="475">
          <cell r="Q475" t="str">
            <v>832 一般診療所</v>
          </cell>
          <cell r="R475" t="str">
            <v>業務</v>
          </cell>
          <cell r="S475" t="str">
            <v>83 医療業</v>
          </cell>
        </row>
        <row r="476">
          <cell r="Q476" t="str">
            <v>833 歯科診療所</v>
          </cell>
          <cell r="R476" t="str">
            <v>業務</v>
          </cell>
          <cell r="S476" t="str">
            <v>83 医療業</v>
          </cell>
        </row>
        <row r="477">
          <cell r="Q477" t="str">
            <v>834 助産・看護業</v>
          </cell>
          <cell r="R477" t="str">
            <v>業務</v>
          </cell>
          <cell r="S477" t="str">
            <v>83 医療業</v>
          </cell>
        </row>
        <row r="478">
          <cell r="Q478" t="str">
            <v>835 療術業</v>
          </cell>
          <cell r="R478" t="str">
            <v>業務</v>
          </cell>
          <cell r="S478" t="str">
            <v>83 医療業</v>
          </cell>
        </row>
        <row r="479">
          <cell r="Q479" t="str">
            <v>836 医療に附帯するサービス業</v>
          </cell>
          <cell r="R479" t="str">
            <v>業務</v>
          </cell>
          <cell r="S479" t="str">
            <v>83 医療業</v>
          </cell>
        </row>
        <row r="480">
          <cell r="Q480" t="str">
            <v>840 管理，補助的経済活動を行う事業所（84保健衛生）</v>
          </cell>
          <cell r="R480" t="str">
            <v>業務</v>
          </cell>
          <cell r="S480" t="str">
            <v>84 保健衛生</v>
          </cell>
        </row>
        <row r="481">
          <cell r="Q481" t="str">
            <v>841 保健所</v>
          </cell>
          <cell r="R481" t="str">
            <v>業務</v>
          </cell>
          <cell r="S481" t="str">
            <v>84 保健衛生</v>
          </cell>
        </row>
        <row r="482">
          <cell r="Q482" t="str">
            <v>842 健康相談施設</v>
          </cell>
          <cell r="R482" t="str">
            <v>業務</v>
          </cell>
          <cell r="S482" t="str">
            <v>84 保健衛生</v>
          </cell>
        </row>
        <row r="483">
          <cell r="Q483" t="str">
            <v>849 その他の保健衛生</v>
          </cell>
          <cell r="R483" t="str">
            <v>業務</v>
          </cell>
          <cell r="S483" t="str">
            <v>84 保健衛生</v>
          </cell>
        </row>
        <row r="484">
          <cell r="Q484" t="str">
            <v>850 管理，補助的経済活動を行う事業所（85社会保険・社会福祉・介護事業）</v>
          </cell>
          <cell r="R484" t="str">
            <v>業務</v>
          </cell>
          <cell r="S484" t="str">
            <v>85 社会保険・社会福祉・介護事業</v>
          </cell>
        </row>
        <row r="485">
          <cell r="Q485" t="str">
            <v>851 社会保険事業団体</v>
          </cell>
          <cell r="R485" t="str">
            <v>業務</v>
          </cell>
          <cell r="S485" t="str">
            <v>85 社会保険・社会福祉・介護事業</v>
          </cell>
        </row>
        <row r="486">
          <cell r="Q486" t="str">
            <v>852 福祉事務所</v>
          </cell>
          <cell r="R486" t="str">
            <v>業務</v>
          </cell>
          <cell r="S486" t="str">
            <v>85 社会保険・社会福祉・介護事業</v>
          </cell>
        </row>
        <row r="487">
          <cell r="Q487" t="str">
            <v>853 児童福祉事業</v>
          </cell>
          <cell r="R487" t="str">
            <v>業務</v>
          </cell>
          <cell r="S487" t="str">
            <v>85 社会保険・社会福祉・介護事業</v>
          </cell>
        </row>
        <row r="488">
          <cell r="Q488" t="str">
            <v>854 老人福祉・介護事業</v>
          </cell>
          <cell r="R488" t="str">
            <v>業務</v>
          </cell>
          <cell r="S488" t="str">
            <v>85 社会保険・社会福祉・介護事業</v>
          </cell>
        </row>
        <row r="489">
          <cell r="Q489" t="str">
            <v>855 障害者福祉事業</v>
          </cell>
          <cell r="R489" t="str">
            <v>業務</v>
          </cell>
          <cell r="S489" t="str">
            <v>85 社会保険・社会福祉・介護事業</v>
          </cell>
        </row>
        <row r="490">
          <cell r="Q490" t="str">
            <v>859 その他の社会保険・社会福祉・介護事業</v>
          </cell>
          <cell r="R490" t="str">
            <v>業務</v>
          </cell>
          <cell r="S490" t="str">
            <v>85 社会保険・社会福祉・介護事業</v>
          </cell>
        </row>
        <row r="491">
          <cell r="Q491" t="str">
            <v>860 管理，補助的経済活動を行う事業所（86郵便局）</v>
          </cell>
          <cell r="R491" t="str">
            <v>業務</v>
          </cell>
          <cell r="S491" t="str">
            <v>86 郵便局</v>
          </cell>
        </row>
        <row r="492">
          <cell r="Q492" t="str">
            <v>861 郵便局</v>
          </cell>
          <cell r="R492" t="str">
            <v>業務</v>
          </cell>
          <cell r="S492" t="str">
            <v>86 郵便局</v>
          </cell>
        </row>
        <row r="493">
          <cell r="Q493" t="str">
            <v>862 郵便局受託業</v>
          </cell>
          <cell r="R493" t="str">
            <v>業務</v>
          </cell>
          <cell r="S493" t="str">
            <v>86 郵便局</v>
          </cell>
        </row>
        <row r="494">
          <cell r="Q494" t="str">
            <v>870 管理，補助的経済活動を行う事業所（87協同組合）</v>
          </cell>
          <cell r="R494" t="str">
            <v>業務</v>
          </cell>
          <cell r="S494" t="str">
            <v>87 協同組合（他に分類されないもの）</v>
          </cell>
        </row>
        <row r="495">
          <cell r="Q495" t="str">
            <v>871 農林水産業協同組合（他に分類されないもの）</v>
          </cell>
          <cell r="R495" t="str">
            <v>業務</v>
          </cell>
          <cell r="S495" t="str">
            <v>87 協同組合（他に分類されないもの）</v>
          </cell>
        </row>
        <row r="496">
          <cell r="Q496" t="str">
            <v>872 事業協同組合（他に分類されないもの）</v>
          </cell>
          <cell r="R496" t="str">
            <v>業務</v>
          </cell>
          <cell r="S496" t="str">
            <v>87 協同組合（他に分類されないもの）</v>
          </cell>
        </row>
        <row r="497">
          <cell r="Q497" t="str">
            <v>880 管理，補助的経済活動を行う事業所（88廃棄物処理業）</v>
          </cell>
          <cell r="R497" t="str">
            <v>業務</v>
          </cell>
          <cell r="S497" t="str">
            <v>88 廃棄物処理業</v>
          </cell>
        </row>
        <row r="498">
          <cell r="Q498" t="str">
            <v>881 一般廃棄物処理業</v>
          </cell>
          <cell r="R498" t="str">
            <v>業務</v>
          </cell>
          <cell r="S498" t="str">
            <v>88 廃棄物処理業</v>
          </cell>
        </row>
        <row r="499">
          <cell r="Q499" t="str">
            <v>882 産業廃棄物処理業</v>
          </cell>
          <cell r="R499" t="str">
            <v>業務</v>
          </cell>
          <cell r="S499" t="str">
            <v>88 廃棄物処理業</v>
          </cell>
        </row>
        <row r="500">
          <cell r="Q500" t="str">
            <v>889 その他の廃棄物処理業</v>
          </cell>
          <cell r="R500" t="str">
            <v>業務</v>
          </cell>
          <cell r="S500" t="str">
            <v>88 廃棄物処理業</v>
          </cell>
        </row>
        <row r="501">
          <cell r="Q501" t="str">
            <v>890 管理，補助的経済活動を行う事業所（89自動車整備業）</v>
          </cell>
          <cell r="R501" t="str">
            <v>業務</v>
          </cell>
          <cell r="S501" t="str">
            <v>89 自動車整備業</v>
          </cell>
        </row>
        <row r="502">
          <cell r="Q502" t="str">
            <v>891 自動車整備業</v>
          </cell>
          <cell r="R502" t="str">
            <v>業務</v>
          </cell>
          <cell r="S502" t="str">
            <v>89 自動車整備業</v>
          </cell>
        </row>
        <row r="503">
          <cell r="Q503" t="str">
            <v>900 管理，補助的経済活動を行う事業所（90機械等修理業）</v>
          </cell>
          <cell r="R503" t="str">
            <v>業務</v>
          </cell>
          <cell r="S503" t="str">
            <v>90 機械等修理業（別掲を除く）</v>
          </cell>
        </row>
        <row r="504">
          <cell r="Q504" t="str">
            <v>901 機械修理業（電気機械器具を除く）</v>
          </cell>
          <cell r="R504" t="str">
            <v>業務</v>
          </cell>
          <cell r="S504" t="str">
            <v>90 機械等修理業（別掲を除く）</v>
          </cell>
        </row>
        <row r="505">
          <cell r="Q505" t="str">
            <v>902 電気機械器具修理業</v>
          </cell>
          <cell r="R505" t="str">
            <v>業務</v>
          </cell>
          <cell r="S505" t="str">
            <v>90 機械等修理業（別掲を除く）</v>
          </cell>
        </row>
        <row r="506">
          <cell r="Q506" t="str">
            <v>903 表具業</v>
          </cell>
          <cell r="R506" t="str">
            <v>業務</v>
          </cell>
          <cell r="S506" t="str">
            <v>90 機械等修理業（別掲を除く）</v>
          </cell>
        </row>
        <row r="507">
          <cell r="Q507" t="str">
            <v>909 その他の修理業</v>
          </cell>
          <cell r="R507" t="str">
            <v>業務</v>
          </cell>
          <cell r="S507" t="str">
            <v>90 機械等修理業（別掲を除く）</v>
          </cell>
        </row>
        <row r="508">
          <cell r="Q508" t="str">
            <v>910 管理，補助的経済活動を行う事業所（91職業紹介・労働者派遣業）</v>
          </cell>
          <cell r="R508" t="str">
            <v>業務</v>
          </cell>
          <cell r="S508" t="str">
            <v>91 職業紹介・労働者派遣業</v>
          </cell>
        </row>
        <row r="509">
          <cell r="Q509" t="str">
            <v>911 職業紹介業</v>
          </cell>
          <cell r="R509" t="str">
            <v>業務</v>
          </cell>
          <cell r="S509" t="str">
            <v>91 職業紹介・労働者派遣業</v>
          </cell>
        </row>
        <row r="510">
          <cell r="Q510" t="str">
            <v>912 労働者派遣業</v>
          </cell>
          <cell r="R510" t="str">
            <v>業務</v>
          </cell>
          <cell r="S510" t="str">
            <v>91 職業紹介・労働者派遣業</v>
          </cell>
        </row>
        <row r="511">
          <cell r="Q511" t="str">
            <v>920 管理，補助的経済活動を行う事業所（92その他の事業サービス業）</v>
          </cell>
          <cell r="R511" t="str">
            <v>業務</v>
          </cell>
          <cell r="S511" t="str">
            <v>92 その他の事業サービス業</v>
          </cell>
        </row>
        <row r="512">
          <cell r="Q512" t="str">
            <v>921 速記・ワープロ入力・複写業</v>
          </cell>
          <cell r="R512" t="str">
            <v>業務</v>
          </cell>
          <cell r="S512" t="str">
            <v>92 その他の事業サービス業</v>
          </cell>
        </row>
        <row r="513">
          <cell r="Q513" t="str">
            <v>922 建物サービス業</v>
          </cell>
          <cell r="R513" t="str">
            <v>業務</v>
          </cell>
          <cell r="S513" t="str">
            <v>92 その他の事業サービス業</v>
          </cell>
        </row>
        <row r="514">
          <cell r="Q514" t="str">
            <v>923 警備業</v>
          </cell>
          <cell r="R514" t="str">
            <v>業務</v>
          </cell>
          <cell r="S514" t="str">
            <v>92 その他の事業サービス業</v>
          </cell>
        </row>
        <row r="515">
          <cell r="Q515" t="str">
            <v>929 他に分類されない事業サービス業</v>
          </cell>
          <cell r="R515" t="str">
            <v>業務</v>
          </cell>
          <cell r="S515" t="str">
            <v>92 その他の事業サービス業</v>
          </cell>
        </row>
        <row r="516">
          <cell r="Q516" t="str">
            <v>931 経済団体</v>
          </cell>
          <cell r="R516" t="str">
            <v>業務</v>
          </cell>
          <cell r="S516" t="str">
            <v>93 政治・経済・文化団体</v>
          </cell>
        </row>
        <row r="517">
          <cell r="Q517" t="str">
            <v>932 労働団体</v>
          </cell>
          <cell r="R517" t="str">
            <v>業務</v>
          </cell>
          <cell r="S517" t="str">
            <v>93 政治・経済・文化団体</v>
          </cell>
        </row>
        <row r="518">
          <cell r="Q518" t="str">
            <v>933 学術・文化団体</v>
          </cell>
          <cell r="R518" t="str">
            <v>業務</v>
          </cell>
          <cell r="S518" t="str">
            <v>93 政治・経済・文化団体</v>
          </cell>
        </row>
        <row r="519">
          <cell r="Q519" t="str">
            <v>934 政治団体</v>
          </cell>
          <cell r="R519" t="str">
            <v>業務</v>
          </cell>
          <cell r="S519" t="str">
            <v>93 政治・経済・文化団体</v>
          </cell>
        </row>
        <row r="520">
          <cell r="Q520" t="str">
            <v>939 他に分類されない非営利的団体</v>
          </cell>
          <cell r="R520" t="str">
            <v>業務</v>
          </cell>
          <cell r="S520" t="str">
            <v>93 政治・経済・文化団体</v>
          </cell>
        </row>
        <row r="521">
          <cell r="Q521" t="str">
            <v>941 神道系宗教</v>
          </cell>
          <cell r="R521" t="str">
            <v>業務</v>
          </cell>
          <cell r="S521" t="str">
            <v>94 宗教</v>
          </cell>
        </row>
        <row r="522">
          <cell r="Q522" t="str">
            <v>942 仏教系宗教</v>
          </cell>
          <cell r="R522" t="str">
            <v>業務</v>
          </cell>
          <cell r="S522" t="str">
            <v>94 宗教</v>
          </cell>
        </row>
        <row r="523">
          <cell r="Q523" t="str">
            <v>943 キリスト教系宗教</v>
          </cell>
          <cell r="R523" t="str">
            <v>業務</v>
          </cell>
          <cell r="S523" t="str">
            <v>94 宗教</v>
          </cell>
        </row>
        <row r="524">
          <cell r="Q524" t="str">
            <v>949 その他の宗教</v>
          </cell>
          <cell r="R524" t="str">
            <v>業務</v>
          </cell>
          <cell r="S524" t="str">
            <v>94 宗教</v>
          </cell>
        </row>
        <row r="525">
          <cell r="Q525" t="str">
            <v>950 管理，補助的経済活動を行う事業所（95その他のサービス業）</v>
          </cell>
          <cell r="R525" t="str">
            <v>業務</v>
          </cell>
          <cell r="S525" t="str">
            <v>95 その他のサービス業</v>
          </cell>
        </row>
        <row r="526">
          <cell r="Q526" t="str">
            <v>951 集会場</v>
          </cell>
          <cell r="R526" t="str">
            <v>業務</v>
          </cell>
          <cell r="S526" t="str">
            <v>95 その他のサービス業</v>
          </cell>
        </row>
        <row r="527">
          <cell r="Q527" t="str">
            <v>952 と畜場</v>
          </cell>
          <cell r="R527" t="str">
            <v>業務</v>
          </cell>
          <cell r="S527" t="str">
            <v>95 その他のサービス業</v>
          </cell>
        </row>
        <row r="528">
          <cell r="Q528" t="str">
            <v>959 他に分類されないサービス業</v>
          </cell>
          <cell r="R528" t="str">
            <v>業務</v>
          </cell>
          <cell r="S528" t="str">
            <v>95 その他のサービス業</v>
          </cell>
        </row>
        <row r="529">
          <cell r="Q529" t="str">
            <v>961 外国公館</v>
          </cell>
          <cell r="R529" t="str">
            <v>業務</v>
          </cell>
          <cell r="S529" t="str">
            <v>96 外国公務</v>
          </cell>
        </row>
        <row r="530">
          <cell r="Q530" t="str">
            <v>969 その他の外国公務</v>
          </cell>
          <cell r="R530" t="str">
            <v>業務</v>
          </cell>
          <cell r="S530" t="str">
            <v>96 外国公務</v>
          </cell>
        </row>
        <row r="531">
          <cell r="Q531" t="str">
            <v>971 立法機関</v>
          </cell>
          <cell r="R531" t="str">
            <v>業務</v>
          </cell>
          <cell r="S531" t="str">
            <v>97 国家公務</v>
          </cell>
        </row>
        <row r="532">
          <cell r="Q532" t="str">
            <v>972 司法機関</v>
          </cell>
          <cell r="R532" t="str">
            <v>業務</v>
          </cell>
          <cell r="S532" t="str">
            <v>97 国家公務</v>
          </cell>
        </row>
        <row r="533">
          <cell r="Q533" t="str">
            <v>973 行政機関</v>
          </cell>
          <cell r="R533" t="str">
            <v>業務</v>
          </cell>
          <cell r="S533" t="str">
            <v>97 国家公務</v>
          </cell>
        </row>
        <row r="534">
          <cell r="Q534" t="str">
            <v>981 都道府県機関</v>
          </cell>
          <cell r="R534" t="str">
            <v>業務</v>
          </cell>
          <cell r="S534" t="str">
            <v>98 地方公務</v>
          </cell>
        </row>
        <row r="535">
          <cell r="Q535" t="str">
            <v>982 市町村機関</v>
          </cell>
          <cell r="R535" t="str">
            <v>業務</v>
          </cell>
          <cell r="S535" t="str">
            <v>98 地方公務</v>
          </cell>
        </row>
        <row r="536">
          <cell r="Q536" t="str">
            <v>999 分類不能の産業</v>
          </cell>
          <cell r="R536" t="str">
            <v>業務</v>
          </cell>
          <cell r="S536" t="str">
            <v>99 分類不能の産業</v>
          </cell>
        </row>
      </sheetData>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696E-4CCD-43A4-972F-92503A13776F}">
  <sheetPr>
    <tabColor theme="7" tint="0.59999389629810485"/>
    <pageSetUpPr fitToPage="1"/>
  </sheetPr>
  <dimension ref="A9:P80"/>
  <sheetViews>
    <sheetView tabSelected="1" zoomScaleNormal="100" zoomScaleSheetLayoutView="100" workbookViewId="0">
      <selection activeCell="A125" sqref="A125"/>
    </sheetView>
  </sheetViews>
  <sheetFormatPr defaultRowHeight="18.75"/>
  <sheetData>
    <row r="9" spans="3:16">
      <c r="P9" t="s">
        <v>170</v>
      </c>
    </row>
    <row r="11" spans="3:16">
      <c r="O11" t="s">
        <v>170</v>
      </c>
    </row>
    <row r="14" spans="3:16">
      <c r="F14" s="660" t="s">
        <v>844</v>
      </c>
    </row>
    <row r="16" spans="3:16">
      <c r="C16" t="s">
        <v>170</v>
      </c>
    </row>
    <row r="18" spans="1:13">
      <c r="I18" s="144"/>
      <c r="M18" s="144"/>
    </row>
    <row r="19" spans="1:13">
      <c r="I19" s="144"/>
      <c r="M19" s="144"/>
    </row>
    <row r="20" spans="1:13">
      <c r="I20" s="144"/>
      <c r="M20" s="144"/>
    </row>
    <row r="21" spans="1:13">
      <c r="M21" s="144"/>
    </row>
    <row r="22" spans="1:13">
      <c r="I22" s="144"/>
      <c r="M22" s="144"/>
    </row>
    <row r="23" spans="1:13">
      <c r="I23" s="144"/>
      <c r="M23" s="144"/>
    </row>
    <row r="24" spans="1:13">
      <c r="I24" s="144"/>
      <c r="M24" s="144"/>
    </row>
    <row r="25" spans="1:13">
      <c r="A25" t="s">
        <v>883</v>
      </c>
      <c r="D25" s="144"/>
      <c r="F25" t="s">
        <v>845</v>
      </c>
      <c r="I25" s="144"/>
      <c r="M25" s="144"/>
    </row>
    <row r="26" spans="1:13">
      <c r="D26" s="144"/>
      <c r="I26" s="144"/>
      <c r="M26" s="144"/>
    </row>
    <row r="27" spans="1:13">
      <c r="D27" s="144"/>
      <c r="I27" s="144"/>
      <c r="M27" s="144"/>
    </row>
    <row r="28" spans="1:13">
      <c r="M28" s="144"/>
    </row>
    <row r="29" spans="1:13">
      <c r="I29" s="144"/>
      <c r="M29" s="144"/>
    </row>
    <row r="30" spans="1:13">
      <c r="I30" s="144"/>
      <c r="M30" s="144"/>
    </row>
    <row r="31" spans="1:13" ht="19.5">
      <c r="I31" s="144"/>
      <c r="K31" s="661" t="s">
        <v>846</v>
      </c>
      <c r="M31" s="662"/>
    </row>
    <row r="44" spans="16:16">
      <c r="P44" s="145"/>
    </row>
    <row r="80" spans="9:9">
      <c r="I80" s="146"/>
    </row>
  </sheetData>
  <sheetProtection algorithmName="SHA-512" hashValue="tSXIm5jBcU7hmTyEheQII1AWhHb4mjwfV+09IB3WglmT9CzBs3MLTARg3vStVsrM0nTRirOP0mnY/l2+AARucA==" saltValue="8VtkGaprxHsuXBmbKMF8FQ==" spinCount="100000" sheet="1" objects="1" scenarios="1" selectLockedCells="1"/>
  <phoneticPr fontId="7"/>
  <printOptions horizontalCentered="1"/>
  <pageMargins left="0.31496062992125984" right="0.31496062992125984" top="0.35433070866141736" bottom="0.35433070866141736"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E2E7-C453-415D-99F0-C9E01152C8D0}">
  <sheetPr>
    <tabColor theme="7" tint="0.59999389629810485"/>
    <pageSetUpPr fitToPage="1"/>
  </sheetPr>
  <dimension ref="C4:P59"/>
  <sheetViews>
    <sheetView topLeftCell="A30" zoomScaleNormal="100" zoomScaleSheetLayoutView="100" workbookViewId="0">
      <selection activeCell="A107" sqref="A107"/>
    </sheetView>
  </sheetViews>
  <sheetFormatPr defaultRowHeight="18.75"/>
  <sheetData>
    <row r="4" spans="3:13">
      <c r="C4" s="1132" t="s">
        <v>847</v>
      </c>
      <c r="D4" s="1132"/>
      <c r="E4" s="1132"/>
      <c r="F4" s="1132"/>
      <c r="G4" s="1132"/>
      <c r="H4" s="1132"/>
      <c r="I4" s="1132"/>
      <c r="J4" s="1132"/>
      <c r="K4" s="1132"/>
      <c r="L4" s="1132"/>
    </row>
    <row r="8" spans="3:13">
      <c r="I8" s="144"/>
      <c r="M8" s="144"/>
    </row>
    <row r="21" spans="16:16">
      <c r="P21" s="145"/>
    </row>
    <row r="57" spans="9:11">
      <c r="I57" s="146"/>
    </row>
    <row r="59" spans="9:11" ht="19.5">
      <c r="K59" s="661" t="s">
        <v>846</v>
      </c>
    </row>
  </sheetData>
  <sheetProtection algorithmName="SHA-512" hashValue="cY1QSj15nQxq6Sw/zRaSTm0RF+AfhCg8l6xjweY2tSmyqnYsc8rtdoz0Enp8cl3BTIwve245Kv78wCdZ0LSb/Q==" saltValue="v7pp8AM+Iyl2Kckz0QVNAQ==" spinCount="100000" sheet="1" objects="1" scenarios="1" selectLockedCells="1"/>
  <mergeCells count="1">
    <mergeCell ref="C4:L4"/>
  </mergeCells>
  <phoneticPr fontId="7"/>
  <printOptions horizontalCentered="1"/>
  <pageMargins left="0.31496062992125984" right="0.31496062992125984" top="0.35433070866141736" bottom="0.35433070866141736"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A9D9-B88C-4892-B423-B8E9BA1B409F}">
  <sheetPr>
    <tabColor theme="5" tint="-0.249977111117893"/>
  </sheetPr>
  <dimension ref="A1:T101"/>
  <sheetViews>
    <sheetView showGridLines="0" topLeftCell="A53" zoomScale="90" zoomScaleNormal="90" zoomScaleSheetLayoutView="100" workbookViewId="0">
      <selection activeCell="L64" sqref="L64:M64"/>
    </sheetView>
  </sheetViews>
  <sheetFormatPr defaultColWidth="9" defaultRowHeight="18.75" outlineLevelCol="1"/>
  <cols>
    <col min="1" max="1" width="7.75" style="7" customWidth="1"/>
    <col min="2" max="6" width="9.25" style="7" customWidth="1"/>
    <col min="7" max="8" width="6.75" style="7" customWidth="1"/>
    <col min="9" max="9" width="17.75" style="7" customWidth="1"/>
    <col min="10" max="10" width="11.75" style="7" customWidth="1"/>
    <col min="11" max="11" width="8.75" style="7" customWidth="1"/>
    <col min="12" max="12" width="10.75" style="7" customWidth="1" outlineLevel="1"/>
    <col min="13" max="13" width="8.75" style="7" customWidth="1" outlineLevel="1"/>
    <col min="14" max="14" width="8.75" style="7" customWidth="1"/>
    <col min="15" max="16384" width="9" style="7"/>
  </cols>
  <sheetData>
    <row r="1" spans="1:15" ht="24" customHeight="1">
      <c r="A1" s="1173"/>
      <c r="B1" s="1173"/>
      <c r="C1" s="1173"/>
      <c r="D1" s="1173"/>
      <c r="E1" s="1173"/>
      <c r="F1" s="1173"/>
      <c r="G1" s="1173"/>
      <c r="H1" s="1173"/>
      <c r="I1" s="1173"/>
      <c r="J1" s="1173"/>
      <c r="K1" s="1173"/>
      <c r="L1" s="1173"/>
      <c r="M1" s="1173"/>
    </row>
    <row r="2" spans="1:15" ht="39" customHeight="1">
      <c r="A2" s="1174" t="s">
        <v>771</v>
      </c>
      <c r="B2" s="1175"/>
      <c r="C2" s="1175"/>
      <c r="D2" s="1175"/>
      <c r="E2" s="1175"/>
      <c r="F2" s="1175"/>
      <c r="G2" s="1175"/>
      <c r="H2" s="1175"/>
      <c r="I2" s="1175"/>
      <c r="J2" s="1175"/>
      <c r="K2" s="1175"/>
      <c r="L2" s="1175"/>
      <c r="M2" s="1175"/>
    </row>
    <row r="3" spans="1:15" ht="3" customHeight="1"/>
    <row r="4" spans="1:15" ht="16.149999999999999" customHeight="1">
      <c r="A4" s="1146" t="s">
        <v>163</v>
      </c>
      <c r="B4" s="1176" t="s">
        <v>909</v>
      </c>
      <c r="C4" s="1177"/>
      <c r="D4" s="1177"/>
      <c r="E4" s="1177"/>
      <c r="F4" s="1177"/>
      <c r="G4" s="1177"/>
      <c r="H4" s="1177"/>
      <c r="I4" s="1177"/>
      <c r="J4" s="1178"/>
      <c r="K4" s="1182" t="s">
        <v>18</v>
      </c>
      <c r="L4" s="1184"/>
      <c r="M4" s="1185"/>
      <c r="O4" s="1063"/>
    </row>
    <row r="5" spans="1:15" ht="16.149999999999999" customHeight="1">
      <c r="A5" s="1148"/>
      <c r="B5" s="1179"/>
      <c r="C5" s="1180"/>
      <c r="D5" s="1180"/>
      <c r="E5" s="1180"/>
      <c r="F5" s="1180"/>
      <c r="G5" s="1180"/>
      <c r="H5" s="1180"/>
      <c r="I5" s="1180"/>
      <c r="J5" s="1181"/>
      <c r="K5" s="1183"/>
      <c r="L5" s="1186"/>
      <c r="M5" s="1187"/>
      <c r="O5" s="1063"/>
    </row>
    <row r="6" spans="1:15" ht="4.9000000000000004" customHeight="1"/>
    <row r="7" spans="1:15" ht="19.5" customHeight="1">
      <c r="A7" s="1146">
        <v>2</v>
      </c>
      <c r="B7" s="1061" t="s">
        <v>86</v>
      </c>
      <c r="C7" s="1064"/>
      <c r="D7" s="1064"/>
      <c r="E7" s="1064"/>
      <c r="F7" s="1064"/>
      <c r="G7" s="1064"/>
      <c r="H7" s="1064"/>
      <c r="I7" s="1064"/>
      <c r="J7" s="1065"/>
      <c r="K7" s="1065"/>
      <c r="L7" s="1194"/>
      <c r="M7" s="1195"/>
      <c r="N7" s="147"/>
      <c r="O7" s="147"/>
    </row>
    <row r="8" spans="1:15" ht="15.6" customHeight="1" thickBot="1">
      <c r="A8" s="1147"/>
      <c r="G8" s="79" t="s">
        <v>79</v>
      </c>
      <c r="H8" s="80" t="s">
        <v>632</v>
      </c>
      <c r="I8" s="80"/>
      <c r="J8" s="322" t="s">
        <v>98</v>
      </c>
      <c r="K8" s="1155" t="s">
        <v>19</v>
      </c>
      <c r="L8" s="1163"/>
      <c r="M8" s="1164"/>
      <c r="N8" s="147"/>
    </row>
    <row r="9" spans="1:15" ht="15.6" customHeight="1">
      <c r="A9" s="1147"/>
      <c r="B9" s="1066" t="s">
        <v>17</v>
      </c>
      <c r="C9" s="76" t="s">
        <v>109</v>
      </c>
      <c r="G9" s="81" t="s">
        <v>78</v>
      </c>
      <c r="H9" s="90" t="s">
        <v>80</v>
      </c>
      <c r="I9" s="91"/>
      <c r="J9" s="1067" t="s">
        <v>98</v>
      </c>
      <c r="K9" s="1156"/>
      <c r="L9" s="1159"/>
      <c r="M9" s="1160"/>
      <c r="N9" s="147"/>
    </row>
    <row r="10" spans="1:15" ht="15.6" customHeight="1" thickBot="1">
      <c r="A10" s="1147"/>
      <c r="G10" s="79"/>
      <c r="H10" s="80" t="s">
        <v>81</v>
      </c>
      <c r="I10" s="92"/>
      <c r="J10" s="322" t="s">
        <v>98</v>
      </c>
      <c r="K10" s="1156"/>
      <c r="L10" s="1196"/>
      <c r="M10" s="1162"/>
      <c r="N10" s="147"/>
    </row>
    <row r="11" spans="1:15" ht="15.6" customHeight="1">
      <c r="A11" s="1147"/>
      <c r="B11" s="1136" t="s">
        <v>17</v>
      </c>
      <c r="C11" s="1137" t="s">
        <v>907</v>
      </c>
      <c r="D11" s="1137"/>
      <c r="E11" s="1137"/>
      <c r="F11" s="76"/>
      <c r="G11" s="81" t="s">
        <v>82</v>
      </c>
      <c r="H11" s="82" t="s">
        <v>107</v>
      </c>
      <c r="I11" s="84"/>
      <c r="J11" s="1069" t="s">
        <v>98</v>
      </c>
      <c r="K11" s="1156"/>
      <c r="L11" s="1159"/>
      <c r="M11" s="1160"/>
      <c r="N11" s="147"/>
    </row>
    <row r="12" spans="1:15" ht="15.6" customHeight="1" thickBot="1">
      <c r="A12" s="1147"/>
      <c r="B12" s="1136"/>
      <c r="C12" s="1137"/>
      <c r="D12" s="1137"/>
      <c r="E12" s="1137"/>
      <c r="F12" s="76"/>
      <c r="G12" s="79"/>
      <c r="H12" s="80" t="s">
        <v>956</v>
      </c>
      <c r="I12" s="148"/>
      <c r="J12" s="322" t="s">
        <v>98</v>
      </c>
      <c r="K12" s="1156"/>
      <c r="L12" s="1196"/>
      <c r="M12" s="1162"/>
      <c r="N12" s="147"/>
    </row>
    <row r="13" spans="1:15" ht="15.6" customHeight="1">
      <c r="A13" s="1147"/>
      <c r="G13" s="81" t="s">
        <v>83</v>
      </c>
      <c r="H13" s="82" t="s">
        <v>107</v>
      </c>
      <c r="I13" s="84"/>
      <c r="J13" s="1069" t="s">
        <v>98</v>
      </c>
      <c r="K13" s="1156"/>
      <c r="L13" s="1159"/>
      <c r="M13" s="1160"/>
      <c r="N13" s="147"/>
    </row>
    <row r="14" spans="1:15" ht="15.6" customHeight="1">
      <c r="A14" s="1147"/>
      <c r="B14" s="1136" t="s">
        <v>17</v>
      </c>
      <c r="C14" s="1137" t="s">
        <v>112</v>
      </c>
      <c r="D14" s="1137"/>
      <c r="E14" s="1137"/>
      <c r="F14" s="77"/>
      <c r="G14" s="81"/>
      <c r="H14" s="82" t="s">
        <v>108</v>
      </c>
      <c r="I14" s="84"/>
      <c r="J14" s="340" t="s">
        <v>98</v>
      </c>
      <c r="K14" s="1156"/>
      <c r="L14" s="1140"/>
      <c r="M14" s="1141"/>
      <c r="N14" s="147"/>
    </row>
    <row r="15" spans="1:15" ht="15.6" customHeight="1">
      <c r="A15" s="1147"/>
      <c r="B15" s="1136"/>
      <c r="C15" s="1137"/>
      <c r="D15" s="1137"/>
      <c r="E15" s="1137"/>
      <c r="F15" s="77"/>
      <c r="G15" s="81"/>
      <c r="H15" s="82" t="s">
        <v>956</v>
      </c>
      <c r="I15" s="84"/>
      <c r="J15" s="340" t="s">
        <v>98</v>
      </c>
      <c r="K15" s="1156"/>
      <c r="L15" s="1140"/>
      <c r="M15" s="1141"/>
      <c r="N15" s="147"/>
    </row>
    <row r="16" spans="1:15" ht="15.6" customHeight="1" thickBot="1">
      <c r="A16" s="1147"/>
      <c r="G16" s="79"/>
      <c r="H16" s="80" t="s">
        <v>957</v>
      </c>
      <c r="I16" s="80"/>
      <c r="J16" s="322" t="s">
        <v>98</v>
      </c>
      <c r="K16" s="1157"/>
      <c r="L16" s="1163"/>
      <c r="M16" s="1164"/>
    </row>
    <row r="17" spans="1:19" ht="5.45" customHeight="1">
      <c r="A17" s="1148"/>
      <c r="B17" s="1070"/>
      <c r="C17" s="1070"/>
      <c r="D17" s="1071"/>
      <c r="E17" s="1072"/>
      <c r="F17" s="1072"/>
      <c r="G17" s="1073"/>
      <c r="H17" s="1072"/>
      <c r="I17" s="1073"/>
      <c r="J17" s="1073"/>
      <c r="K17" s="1074"/>
      <c r="L17" s="1073"/>
      <c r="M17" s="1070"/>
    </row>
    <row r="18" spans="1:19" ht="17.25" customHeight="1">
      <c r="A18" s="1075" t="s">
        <v>958</v>
      </c>
      <c r="B18" s="1075"/>
      <c r="C18" s="1075"/>
      <c r="D18" s="1075"/>
      <c r="E18" s="1075"/>
      <c r="F18" s="1075"/>
      <c r="G18" s="1075"/>
      <c r="H18" s="1075"/>
      <c r="I18" s="1075"/>
      <c r="J18" s="1076"/>
      <c r="K18" s="1077"/>
      <c r="L18" s="1075"/>
    </row>
    <row r="19" spans="1:19" ht="19.5" customHeight="1">
      <c r="A19" s="1146">
        <v>3</v>
      </c>
      <c r="B19" s="1061" t="s">
        <v>115</v>
      </c>
      <c r="C19" s="1064"/>
      <c r="D19" s="1064"/>
      <c r="E19" s="1064"/>
      <c r="F19" s="1064"/>
      <c r="G19" s="1064"/>
      <c r="H19" s="1064"/>
      <c r="I19" s="1064"/>
      <c r="J19" s="1078"/>
      <c r="L19" s="1079"/>
      <c r="M19" s="1080"/>
      <c r="R19"/>
      <c r="S19"/>
    </row>
    <row r="20" spans="1:19" ht="15.6" customHeight="1" thickBot="1">
      <c r="A20" s="1147"/>
      <c r="B20" s="84"/>
      <c r="C20" s="2"/>
      <c r="D20" s="2"/>
      <c r="E20" s="2"/>
      <c r="G20" s="79" t="s">
        <v>79</v>
      </c>
      <c r="H20" s="80" t="s">
        <v>110</v>
      </c>
      <c r="I20" s="149"/>
      <c r="J20" s="325" t="s">
        <v>174</v>
      </c>
      <c r="K20" s="1155" t="s">
        <v>19</v>
      </c>
      <c r="L20" s="1153"/>
      <c r="M20" s="1154"/>
      <c r="R20" s="1081"/>
      <c r="S20" s="1081"/>
    </row>
    <row r="21" spans="1:19" ht="15.6" customHeight="1">
      <c r="A21" s="1147"/>
      <c r="B21" s="1066" t="s">
        <v>17</v>
      </c>
      <c r="C21" s="76" t="s">
        <v>109</v>
      </c>
      <c r="G21" s="81" t="s">
        <v>78</v>
      </c>
      <c r="H21" s="82" t="s">
        <v>87</v>
      </c>
      <c r="I21" s="77"/>
      <c r="J21" s="261" t="s">
        <v>99</v>
      </c>
      <c r="K21" s="1156"/>
      <c r="L21" s="1188"/>
      <c r="M21" s="1189"/>
    </row>
    <row r="22" spans="1:19" ht="15.6" customHeight="1">
      <c r="A22" s="1147"/>
      <c r="B22" s="1075"/>
      <c r="C22" s="2"/>
      <c r="G22" s="81"/>
      <c r="H22" s="82" t="s">
        <v>88</v>
      </c>
      <c r="I22" s="77"/>
      <c r="J22" s="261" t="s">
        <v>99</v>
      </c>
      <c r="K22" s="1156"/>
      <c r="L22" s="1166"/>
      <c r="M22" s="1167"/>
    </row>
    <row r="23" spans="1:19" ht="15.6" customHeight="1">
      <c r="A23" s="1147"/>
      <c r="B23" s="1075"/>
      <c r="C23" s="2"/>
      <c r="G23" s="81"/>
      <c r="H23" s="82" t="s">
        <v>89</v>
      </c>
      <c r="I23" s="77"/>
      <c r="J23" s="261" t="s">
        <v>99</v>
      </c>
      <c r="K23" s="1156"/>
      <c r="L23" s="1166"/>
      <c r="M23" s="1167"/>
    </row>
    <row r="24" spans="1:19" ht="15.6" customHeight="1" thickBot="1">
      <c r="A24" s="1147"/>
      <c r="B24" s="1075"/>
      <c r="C24" s="2"/>
      <c r="G24" s="79"/>
      <c r="H24" s="80" t="s">
        <v>90</v>
      </c>
      <c r="I24" s="78"/>
      <c r="J24" s="325" t="s">
        <v>99</v>
      </c>
      <c r="K24" s="1156"/>
      <c r="L24" s="1190"/>
      <c r="M24" s="1191"/>
    </row>
    <row r="25" spans="1:19" ht="15.6" customHeight="1">
      <c r="A25" s="1147"/>
      <c r="B25" s="1075"/>
      <c r="C25" s="2"/>
      <c r="G25" s="81" t="s">
        <v>82</v>
      </c>
      <c r="H25" s="82" t="s">
        <v>87</v>
      </c>
      <c r="I25" s="82"/>
      <c r="J25" s="261" t="s">
        <v>99</v>
      </c>
      <c r="K25" s="1156"/>
      <c r="L25" s="1149"/>
      <c r="M25" s="1150"/>
    </row>
    <row r="26" spans="1:19" ht="15.6" customHeight="1">
      <c r="A26" s="1147"/>
      <c r="B26" s="1136" t="s">
        <v>630</v>
      </c>
      <c r="C26" s="1137" t="s">
        <v>907</v>
      </c>
      <c r="D26" s="1137"/>
      <c r="E26" s="1137"/>
      <c r="G26" s="81"/>
      <c r="H26" s="82" t="s">
        <v>111</v>
      </c>
      <c r="I26" s="82"/>
      <c r="J26" s="261" t="s">
        <v>99</v>
      </c>
      <c r="K26" s="1156"/>
      <c r="L26" s="1151"/>
      <c r="M26" s="1152"/>
    </row>
    <row r="27" spans="1:19" ht="15.6" customHeight="1">
      <c r="A27" s="1147"/>
      <c r="B27" s="1136"/>
      <c r="C27" s="1137"/>
      <c r="D27" s="1137"/>
      <c r="E27" s="1137"/>
      <c r="G27" s="81"/>
      <c r="H27" s="1082" t="s">
        <v>825</v>
      </c>
      <c r="I27" s="82"/>
      <c r="J27" s="261" t="s">
        <v>99</v>
      </c>
      <c r="K27" s="1156"/>
      <c r="L27" s="1151"/>
      <c r="M27" s="1152"/>
    </row>
    <row r="28" spans="1:19" ht="15.6" customHeight="1">
      <c r="A28" s="1147"/>
      <c r="B28" s="1075"/>
      <c r="C28" s="2"/>
      <c r="G28" s="81"/>
      <c r="H28" s="1082" t="s">
        <v>826</v>
      </c>
      <c r="I28" s="82"/>
      <c r="J28" s="261" t="s">
        <v>99</v>
      </c>
      <c r="K28" s="1156"/>
      <c r="L28" s="1151"/>
      <c r="M28" s="1152"/>
    </row>
    <row r="29" spans="1:19" ht="15.6" customHeight="1" thickBot="1">
      <c r="A29" s="1147"/>
      <c r="B29" s="1075"/>
      <c r="C29" s="2"/>
      <c r="G29" s="79"/>
      <c r="H29" s="1083" t="s">
        <v>904</v>
      </c>
      <c r="I29" s="80"/>
      <c r="J29" s="341" t="s">
        <v>99</v>
      </c>
      <c r="K29" s="1156"/>
      <c r="L29" s="1153"/>
      <c r="M29" s="1154"/>
    </row>
    <row r="30" spans="1:19" ht="15.6" customHeight="1">
      <c r="A30" s="1147"/>
      <c r="B30" s="1075"/>
      <c r="C30" s="2"/>
      <c r="G30" s="81" t="s">
        <v>83</v>
      </c>
      <c r="H30" s="82" t="s">
        <v>87</v>
      </c>
      <c r="I30" s="77"/>
      <c r="J30" s="261" t="s">
        <v>99</v>
      </c>
      <c r="K30" s="1156"/>
      <c r="L30" s="1192"/>
      <c r="M30" s="1193"/>
      <c r="N30" s="1084"/>
    </row>
    <row r="31" spans="1:19" ht="15.6" customHeight="1">
      <c r="A31" s="1147"/>
      <c r="B31" s="1075"/>
      <c r="C31" s="2"/>
      <c r="G31" s="82"/>
      <c r="H31" s="82" t="s">
        <v>88</v>
      </c>
      <c r="I31" s="77"/>
      <c r="J31" s="261" t="s">
        <v>99</v>
      </c>
      <c r="K31" s="1156"/>
      <c r="L31" s="1165"/>
      <c r="M31" s="1141"/>
      <c r="N31" s="1084"/>
    </row>
    <row r="32" spans="1:19" ht="15.6" customHeight="1">
      <c r="A32" s="1147"/>
      <c r="B32" s="1075"/>
      <c r="C32" s="2"/>
      <c r="G32" s="82"/>
      <c r="H32" s="82" t="s">
        <v>91</v>
      </c>
      <c r="I32" s="77"/>
      <c r="J32" s="261" t="s">
        <v>99</v>
      </c>
      <c r="K32" s="1156"/>
      <c r="L32" s="1165"/>
      <c r="M32" s="1141"/>
      <c r="N32" s="1084"/>
    </row>
    <row r="33" spans="1:19" ht="15.6" customHeight="1">
      <c r="A33" s="1147"/>
      <c r="B33" s="1136" t="s">
        <v>630</v>
      </c>
      <c r="C33" s="1137" t="s">
        <v>112</v>
      </c>
      <c r="D33" s="1137"/>
      <c r="E33" s="1137"/>
      <c r="G33" s="82"/>
      <c r="H33" s="82" t="s">
        <v>92</v>
      </c>
      <c r="I33" s="77"/>
      <c r="J33" s="261" t="s">
        <v>99</v>
      </c>
      <c r="K33" s="1156"/>
      <c r="L33" s="1165"/>
      <c r="M33" s="1141"/>
      <c r="N33" s="1084"/>
    </row>
    <row r="34" spans="1:19" ht="15.6" customHeight="1">
      <c r="A34" s="1147"/>
      <c r="B34" s="1136"/>
      <c r="C34" s="1137"/>
      <c r="D34" s="1137"/>
      <c r="E34" s="1137"/>
      <c r="G34" s="82"/>
      <c r="H34" s="1082" t="s">
        <v>827</v>
      </c>
      <c r="I34" s="77"/>
      <c r="J34" s="261" t="s">
        <v>99</v>
      </c>
      <c r="K34" s="1156"/>
      <c r="L34" s="1165"/>
      <c r="M34" s="1141"/>
    </row>
    <row r="35" spans="1:19" ht="15.6" customHeight="1">
      <c r="A35" s="1147"/>
      <c r="B35" s="1075"/>
      <c r="C35" s="2"/>
      <c r="G35" s="82"/>
      <c r="H35" s="1082" t="s">
        <v>826</v>
      </c>
      <c r="I35" s="77"/>
      <c r="J35" s="261" t="s">
        <v>99</v>
      </c>
      <c r="K35" s="1156"/>
      <c r="L35" s="1166"/>
      <c r="M35" s="1167"/>
    </row>
    <row r="36" spans="1:19" ht="15.6" customHeight="1">
      <c r="A36" s="1147"/>
      <c r="B36" s="1075"/>
      <c r="C36" s="2"/>
      <c r="G36" s="1085"/>
      <c r="H36" s="1082" t="s">
        <v>904</v>
      </c>
      <c r="I36" s="77"/>
      <c r="J36" s="261" t="s">
        <v>99</v>
      </c>
      <c r="K36" s="1156"/>
      <c r="L36" s="1134"/>
      <c r="M36" s="1135"/>
    </row>
    <row r="37" spans="1:19" ht="15.6" customHeight="1" thickBot="1">
      <c r="A37" s="1147"/>
      <c r="B37" s="1075"/>
      <c r="C37" s="2"/>
      <c r="G37" s="80"/>
      <c r="H37" s="1086" t="s">
        <v>980</v>
      </c>
      <c r="I37" s="290"/>
      <c r="J37" s="341" t="s">
        <v>99</v>
      </c>
      <c r="K37" s="1157"/>
      <c r="L37" s="1168"/>
      <c r="M37" s="1169"/>
      <c r="N37" s="1087"/>
    </row>
    <row r="38" spans="1:19" ht="5.45" customHeight="1">
      <c r="A38" s="1148"/>
      <c r="B38" s="1076"/>
      <c r="C38" s="27"/>
      <c r="D38" s="1072"/>
      <c r="E38" s="1070"/>
      <c r="F38" s="1072"/>
      <c r="G38" s="1072"/>
      <c r="H38" s="27"/>
      <c r="I38" s="27"/>
      <c r="J38" s="1070"/>
      <c r="K38" s="1088"/>
      <c r="L38" s="151"/>
      <c r="M38" s="1089"/>
    </row>
    <row r="39" spans="1:19" ht="30" customHeight="1">
      <c r="A39" s="1202" t="s">
        <v>981</v>
      </c>
      <c r="B39" s="1202"/>
      <c r="C39" s="1202"/>
      <c r="D39" s="1202"/>
      <c r="E39" s="1202"/>
      <c r="F39" s="1202"/>
      <c r="G39" s="1202"/>
      <c r="H39" s="1202"/>
      <c r="I39" s="1202"/>
      <c r="J39" s="1202"/>
      <c r="K39" s="1202"/>
      <c r="L39" s="1202"/>
      <c r="M39" s="1202"/>
    </row>
    <row r="40" spans="1:19" ht="4.9000000000000004" customHeight="1"/>
    <row r="41" spans="1:19" ht="32.450000000000003" customHeight="1">
      <c r="A41" s="1090">
        <v>4</v>
      </c>
      <c r="B41" s="1091" t="s">
        <v>910</v>
      </c>
      <c r="C41" s="28"/>
      <c r="D41" s="28"/>
      <c r="E41" s="28"/>
      <c r="F41" s="28"/>
      <c r="G41" s="28"/>
      <c r="H41" s="28"/>
      <c r="I41" s="28"/>
      <c r="J41" s="1092"/>
      <c r="K41" s="1062" t="s">
        <v>18</v>
      </c>
      <c r="L41" s="1203"/>
      <c r="M41" s="1204"/>
    </row>
    <row r="42" spans="1:19" ht="4.9000000000000004" customHeight="1">
      <c r="J42" s="1093"/>
      <c r="K42" s="1093"/>
    </row>
    <row r="43" spans="1:19" ht="19.5" customHeight="1">
      <c r="A43" s="1146">
        <v>5</v>
      </c>
      <c r="B43" s="1060" t="s">
        <v>964</v>
      </c>
      <c r="C43" s="1064"/>
      <c r="D43" s="1064"/>
      <c r="E43" s="1064"/>
      <c r="F43" s="1064"/>
      <c r="G43" s="1064"/>
      <c r="H43" s="1064"/>
      <c r="I43" s="1064"/>
      <c r="J43" s="1078"/>
      <c r="L43" s="1094"/>
      <c r="M43" s="1095"/>
      <c r="R43"/>
      <c r="S43"/>
    </row>
    <row r="44" spans="1:19" ht="15.6" customHeight="1" thickBot="1">
      <c r="A44" s="1147"/>
      <c r="B44" s="84"/>
      <c r="C44" s="2"/>
      <c r="D44" s="2"/>
      <c r="E44" s="2"/>
      <c r="G44" s="79" t="s">
        <v>79</v>
      </c>
      <c r="H44" s="80" t="s">
        <v>110</v>
      </c>
      <c r="I44" s="149"/>
      <c r="J44" s="325" t="s">
        <v>174</v>
      </c>
      <c r="K44" s="1155" t="s">
        <v>19</v>
      </c>
      <c r="L44" s="1158"/>
      <c r="M44" s="1154"/>
      <c r="R44" s="1096"/>
      <c r="S44" s="1096"/>
    </row>
    <row r="45" spans="1:19" ht="15.6" customHeight="1">
      <c r="A45" s="1147"/>
      <c r="D45" s="152"/>
      <c r="E45" s="77"/>
      <c r="G45" s="81" t="s">
        <v>78</v>
      </c>
      <c r="H45" s="82" t="s">
        <v>87</v>
      </c>
      <c r="I45" s="82"/>
      <c r="J45" s="261" t="s">
        <v>99</v>
      </c>
      <c r="K45" s="1156"/>
      <c r="L45" s="1159"/>
      <c r="M45" s="1160"/>
    </row>
    <row r="46" spans="1:19" ht="15.6" customHeight="1">
      <c r="A46" s="1147"/>
      <c r="B46" s="1066" t="s">
        <v>17</v>
      </c>
      <c r="C46" s="76" t="s">
        <v>109</v>
      </c>
      <c r="D46" s="152"/>
      <c r="E46" s="77"/>
      <c r="G46" s="81"/>
      <c r="H46" s="82" t="s">
        <v>88</v>
      </c>
      <c r="I46" s="82"/>
      <c r="J46" s="261" t="s">
        <v>99</v>
      </c>
      <c r="K46" s="1156"/>
      <c r="L46" s="1140"/>
      <c r="M46" s="1141"/>
    </row>
    <row r="47" spans="1:19" ht="15.6" customHeight="1">
      <c r="A47" s="1147"/>
      <c r="B47" s="1075"/>
      <c r="C47" s="2"/>
      <c r="D47" s="152"/>
      <c r="E47" s="77"/>
      <c r="G47" s="81"/>
      <c r="H47" s="82" t="s">
        <v>89</v>
      </c>
      <c r="I47" s="82"/>
      <c r="J47" s="261" t="s">
        <v>99</v>
      </c>
      <c r="K47" s="1156"/>
      <c r="L47" s="1140"/>
      <c r="M47" s="1141"/>
    </row>
    <row r="48" spans="1:19" ht="15.6" customHeight="1" thickBot="1">
      <c r="A48" s="1147"/>
      <c r="B48" s="1075"/>
      <c r="C48" s="2"/>
      <c r="D48" s="152"/>
      <c r="E48" s="77"/>
      <c r="G48" s="79"/>
      <c r="H48" s="80" t="s">
        <v>90</v>
      </c>
      <c r="I48" s="80"/>
      <c r="J48" s="325" t="s">
        <v>99</v>
      </c>
      <c r="K48" s="1156"/>
      <c r="L48" s="1161"/>
      <c r="M48" s="1162"/>
    </row>
    <row r="49" spans="1:18" ht="15.6" customHeight="1">
      <c r="A49" s="1147"/>
      <c r="B49" s="1075"/>
      <c r="C49" s="2"/>
      <c r="D49" s="152"/>
      <c r="E49" s="77"/>
      <c r="G49" s="81" t="s">
        <v>82</v>
      </c>
      <c r="H49" s="82" t="s">
        <v>87</v>
      </c>
      <c r="I49" s="77"/>
      <c r="J49" s="261" t="s">
        <v>99</v>
      </c>
      <c r="K49" s="1156"/>
      <c r="L49" s="1149"/>
      <c r="M49" s="1150"/>
    </row>
    <row r="50" spans="1:18" ht="15.6" customHeight="1">
      <c r="A50" s="1147"/>
      <c r="B50" s="1136" t="s">
        <v>17</v>
      </c>
      <c r="C50" s="1137" t="s">
        <v>908</v>
      </c>
      <c r="D50" s="1137"/>
      <c r="E50" s="1137"/>
      <c r="F50" s="77"/>
      <c r="H50" s="82" t="s">
        <v>111</v>
      </c>
      <c r="I50" s="77"/>
      <c r="J50" s="261" t="s">
        <v>99</v>
      </c>
      <c r="K50" s="1156"/>
      <c r="L50" s="1151"/>
      <c r="M50" s="1152"/>
    </row>
    <row r="51" spans="1:18" ht="15.6" customHeight="1">
      <c r="A51" s="1147"/>
      <c r="B51" s="1136"/>
      <c r="C51" s="1137"/>
      <c r="D51" s="1137"/>
      <c r="E51" s="1137"/>
      <c r="F51" s="77"/>
      <c r="H51" s="1082" t="s">
        <v>825</v>
      </c>
      <c r="I51" s="77"/>
      <c r="J51" s="261" t="s">
        <v>99</v>
      </c>
      <c r="K51" s="1156"/>
      <c r="L51" s="1151"/>
      <c r="M51" s="1152"/>
    </row>
    <row r="52" spans="1:18" ht="15.6" customHeight="1">
      <c r="A52" s="1147"/>
      <c r="B52" s="1075"/>
      <c r="C52" s="2"/>
      <c r="D52" s="152"/>
      <c r="E52" s="77"/>
      <c r="F52" s="81"/>
      <c r="H52" s="1082" t="s">
        <v>826</v>
      </c>
      <c r="I52" s="77"/>
      <c r="J52" s="261" t="s">
        <v>99</v>
      </c>
      <c r="K52" s="1156"/>
      <c r="L52" s="1151"/>
      <c r="M52" s="1152"/>
    </row>
    <row r="53" spans="1:18" ht="15.6" customHeight="1" thickBot="1">
      <c r="A53" s="1147"/>
      <c r="B53" s="1075"/>
      <c r="C53" s="2"/>
      <c r="D53" s="152"/>
      <c r="E53" s="77"/>
      <c r="F53"/>
      <c r="G53" s="92"/>
      <c r="H53" s="1083" t="s">
        <v>905</v>
      </c>
      <c r="I53" s="78"/>
      <c r="J53" s="325" t="s">
        <v>99</v>
      </c>
      <c r="K53" s="1156"/>
      <c r="L53" s="1153"/>
      <c r="M53" s="1154"/>
    </row>
    <row r="54" spans="1:18" ht="15.6" customHeight="1">
      <c r="A54" s="1147"/>
      <c r="B54" s="1075"/>
      <c r="C54" s="2"/>
      <c r="D54" s="152"/>
      <c r="E54" s="77"/>
      <c r="G54" s="81" t="s">
        <v>83</v>
      </c>
      <c r="H54" s="82" t="s">
        <v>87</v>
      </c>
      <c r="I54" s="82"/>
      <c r="J54" s="261" t="s">
        <v>99</v>
      </c>
      <c r="K54" s="1156"/>
      <c r="L54" s="1159"/>
      <c r="M54" s="1160"/>
      <c r="N54" s="1084"/>
    </row>
    <row r="55" spans="1:18" ht="15.6" customHeight="1">
      <c r="A55" s="1147"/>
      <c r="B55" s="1075"/>
      <c r="C55" s="2"/>
      <c r="D55" s="77"/>
      <c r="E55" s="77"/>
      <c r="F55" s="82"/>
      <c r="H55" s="82" t="s">
        <v>88</v>
      </c>
      <c r="I55" s="82"/>
      <c r="J55" s="261" t="s">
        <v>99</v>
      </c>
      <c r="K55" s="1156"/>
      <c r="L55" s="1140"/>
      <c r="M55" s="1141"/>
      <c r="N55" s="1084"/>
    </row>
    <row r="56" spans="1:18" ht="15.6" customHeight="1">
      <c r="A56" s="1147"/>
      <c r="B56" s="1136" t="s">
        <v>17</v>
      </c>
      <c r="C56" s="1137" t="s">
        <v>112</v>
      </c>
      <c r="D56" s="1137"/>
      <c r="E56" s="1137"/>
      <c r="F56" s="77"/>
      <c r="H56" s="82" t="s">
        <v>91</v>
      </c>
      <c r="I56" s="82"/>
      <c r="J56" s="261" t="s">
        <v>99</v>
      </c>
      <c r="K56" s="1156"/>
      <c r="L56" s="1140"/>
      <c r="M56" s="1141"/>
      <c r="N56" s="1084"/>
    </row>
    <row r="57" spans="1:18" ht="15.6" customHeight="1">
      <c r="A57" s="1147"/>
      <c r="B57" s="1136"/>
      <c r="C57" s="1137"/>
      <c r="D57" s="1137"/>
      <c r="E57" s="1137"/>
      <c r="F57" s="77"/>
      <c r="H57" s="82" t="s">
        <v>92</v>
      </c>
      <c r="I57" s="82"/>
      <c r="J57" s="261" t="s">
        <v>99</v>
      </c>
      <c r="K57" s="1156"/>
      <c r="L57" s="1140"/>
      <c r="M57" s="1141"/>
      <c r="N57" s="1084"/>
    </row>
    <row r="58" spans="1:18" ht="15.6" customHeight="1">
      <c r="A58" s="1147"/>
      <c r="B58" s="1075"/>
      <c r="C58" s="2"/>
      <c r="D58" s="77"/>
      <c r="E58" s="77"/>
      <c r="F58" s="82"/>
      <c r="H58" s="1082" t="s">
        <v>827</v>
      </c>
      <c r="I58" s="82"/>
      <c r="J58" s="261" t="s">
        <v>99</v>
      </c>
      <c r="K58" s="1156"/>
      <c r="L58" s="1140"/>
      <c r="M58" s="1141"/>
    </row>
    <row r="59" spans="1:18" ht="15.6" customHeight="1">
      <c r="A59" s="1147"/>
      <c r="B59" s="1075"/>
      <c r="C59" s="2"/>
      <c r="D59" s="77"/>
      <c r="E59" s="77"/>
      <c r="F59" s="82"/>
      <c r="H59" s="1082" t="s">
        <v>826</v>
      </c>
      <c r="I59" s="82"/>
      <c r="J59" s="261" t="s">
        <v>99</v>
      </c>
      <c r="K59" s="1156"/>
      <c r="L59" s="1140"/>
      <c r="M59" s="1141"/>
    </row>
    <row r="60" spans="1:18" ht="15.6" customHeight="1">
      <c r="A60" s="1147"/>
      <c r="B60" s="1075"/>
      <c r="C60" s="2"/>
      <c r="D60" s="77"/>
      <c r="E60" s="77"/>
      <c r="F60" s="82"/>
      <c r="H60" s="1082" t="s">
        <v>905</v>
      </c>
      <c r="I60" s="82"/>
      <c r="J60" s="261" t="s">
        <v>99</v>
      </c>
      <c r="K60" s="1156"/>
      <c r="L60" s="1134"/>
      <c r="M60" s="1135"/>
      <c r="R60"/>
    </row>
    <row r="61" spans="1:18" ht="15.6" customHeight="1" thickBot="1">
      <c r="A61" s="1147"/>
      <c r="B61" s="1075"/>
      <c r="C61" s="2"/>
      <c r="D61" s="77"/>
      <c r="E61" s="77"/>
      <c r="F61" s="82"/>
      <c r="G61" s="92"/>
      <c r="H61" s="1086" t="s">
        <v>828</v>
      </c>
      <c r="I61" s="80"/>
      <c r="J61" s="341" t="s">
        <v>99</v>
      </c>
      <c r="K61" s="1157"/>
      <c r="L61" s="1142"/>
      <c r="M61" s="1143"/>
      <c r="R61"/>
    </row>
    <row r="62" spans="1:18" ht="5.45" customHeight="1">
      <c r="A62" s="1148"/>
      <c r="B62" s="1097"/>
      <c r="C62" s="27"/>
      <c r="D62" s="27"/>
      <c r="E62" s="27"/>
      <c r="F62" s="27"/>
      <c r="G62" s="27"/>
      <c r="H62" s="27"/>
      <c r="I62" s="27"/>
      <c r="J62" s="1070"/>
      <c r="K62" s="1098"/>
      <c r="L62" s="1144"/>
      <c r="M62" s="1144"/>
      <c r="R62"/>
    </row>
    <row r="63" spans="1:18" ht="17.25" customHeight="1">
      <c r="A63" s="1197" t="s">
        <v>965</v>
      </c>
      <c r="B63" s="1197"/>
      <c r="C63" s="1197"/>
      <c r="D63" s="1197"/>
      <c r="E63" s="1197"/>
      <c r="F63" s="1197"/>
      <c r="G63" s="1197"/>
      <c r="H63" s="1197"/>
      <c r="I63" s="1197"/>
      <c r="J63" s="1197"/>
      <c r="K63" s="1197"/>
      <c r="L63" s="1197"/>
      <c r="M63" s="1197"/>
      <c r="R63"/>
    </row>
    <row r="64" spans="1:18" ht="32.450000000000003" customHeight="1">
      <c r="A64" s="1099">
        <v>6</v>
      </c>
      <c r="B64" s="153" t="s">
        <v>864</v>
      </c>
      <c r="C64" s="1077"/>
      <c r="D64" s="1077"/>
      <c r="E64" s="1077"/>
      <c r="F64" s="1077"/>
      <c r="G64" s="1077"/>
      <c r="H64" s="1077"/>
      <c r="I64" s="1093" t="str">
        <f>IFERROR(VLOOKUP(L4,#REF!:#REF!,4,FALSE),"")</f>
        <v/>
      </c>
      <c r="J64" s="1092"/>
      <c r="K64" s="1062" t="s">
        <v>19</v>
      </c>
      <c r="L64" s="1138"/>
      <c r="M64" s="1139"/>
      <c r="R64"/>
    </row>
    <row r="65" spans="1:20" ht="19.899999999999999" customHeight="1">
      <c r="A65" s="1075"/>
      <c r="R65"/>
    </row>
    <row r="66" spans="1:20" ht="25.5" customHeight="1">
      <c r="R66"/>
    </row>
    <row r="67" spans="1:20" ht="25.15" customHeight="1"/>
    <row r="68" spans="1:20" ht="24" customHeight="1">
      <c r="B68" s="1205" t="s">
        <v>25</v>
      </c>
      <c r="C68" s="1205"/>
      <c r="D68" s="1205"/>
      <c r="E68" s="1205"/>
      <c r="F68" s="1205"/>
      <c r="G68" s="1205" t="s">
        <v>23</v>
      </c>
      <c r="H68" s="1205"/>
      <c r="I68" s="1205"/>
      <c r="J68" s="1205" t="s">
        <v>6</v>
      </c>
      <c r="K68" s="1205"/>
      <c r="L68" s="1205"/>
    </row>
    <row r="69" spans="1:20" ht="24" customHeight="1">
      <c r="B69" s="1206" t="s">
        <v>93</v>
      </c>
      <c r="C69" s="1206"/>
      <c r="D69" s="1206"/>
      <c r="E69" s="1206"/>
      <c r="F69" s="1206"/>
      <c r="G69" s="1171">
        <f>L4</f>
        <v>0</v>
      </c>
      <c r="H69" s="1171"/>
      <c r="I69" s="1171"/>
      <c r="J69" s="1171">
        <f>L41</f>
        <v>0</v>
      </c>
      <c r="K69" s="1171"/>
      <c r="L69" s="1171"/>
    </row>
    <row r="70" spans="1:20" ht="24" customHeight="1">
      <c r="B70" s="1206" t="s">
        <v>94</v>
      </c>
      <c r="C70" s="1206"/>
      <c r="D70" s="1206"/>
      <c r="E70" s="1206"/>
      <c r="F70" s="1100" t="s">
        <v>99</v>
      </c>
      <c r="G70" s="1172" t="str">
        <f>IF('計算シート（電動式）'!E53="0","-",'計算シート（電動式）'!E53)</f>
        <v>-</v>
      </c>
      <c r="H70" s="1172"/>
      <c r="I70" s="1172"/>
      <c r="J70" s="1172" t="str">
        <f>IF('計算シート（電動式）'!H53="0","-",'計算シート（電動式）'!H53)</f>
        <v>-</v>
      </c>
      <c r="K70" s="1172"/>
      <c r="L70" s="1172"/>
    </row>
    <row r="71" spans="1:20" ht="24" customHeight="1">
      <c r="B71" s="1206" t="s">
        <v>95</v>
      </c>
      <c r="C71" s="1206"/>
      <c r="D71" s="1206"/>
      <c r="E71" s="1206"/>
      <c r="F71" s="1101" t="s">
        <v>99</v>
      </c>
      <c r="G71" s="1172" t="str">
        <f>IF('計算シート（電動式）'!E54=0,"-",'計算シート（電動式）'!E54)</f>
        <v>-</v>
      </c>
      <c r="H71" s="1172"/>
      <c r="I71" s="1172"/>
      <c r="J71" s="1172" t="str">
        <f>IF('計算シート（電動式）'!H54=0,"-",'計算シート（電動式）'!H54)</f>
        <v>-</v>
      </c>
      <c r="K71" s="1172"/>
      <c r="L71" s="1172"/>
    </row>
    <row r="72" spans="1:20" ht="24" customHeight="1">
      <c r="B72" s="1206" t="s">
        <v>674</v>
      </c>
      <c r="C72" s="1206"/>
      <c r="D72" s="1206"/>
      <c r="E72" s="1206"/>
      <c r="F72" s="1102" t="s">
        <v>676</v>
      </c>
      <c r="G72" s="1145" t="str">
        <f>IF('計算シート（電動式）'!E57=0,"-",'計算シート（電動式）'!E57)</f>
        <v>-</v>
      </c>
      <c r="H72" s="1145"/>
      <c r="I72" s="1145"/>
      <c r="J72" s="1145" t="str">
        <f>IF('計算シート（電動式）'!H57=0,"-",'計算シート（電動式）'!H57)</f>
        <v>-</v>
      </c>
      <c r="K72" s="1145"/>
      <c r="L72" s="1145"/>
    </row>
    <row r="73" spans="1:20" ht="24" customHeight="1">
      <c r="B73" s="1206" t="s">
        <v>675</v>
      </c>
      <c r="C73" s="1206"/>
      <c r="D73" s="1206"/>
      <c r="E73" s="1206"/>
      <c r="F73" s="1103" t="s">
        <v>676</v>
      </c>
      <c r="G73" s="1145" t="str">
        <f>IF('計算シート（電動式）'!E58=0,"-",'計算シート（電動式）'!E58)</f>
        <v>-</v>
      </c>
      <c r="H73" s="1145"/>
      <c r="I73" s="1145"/>
      <c r="J73" s="1145" t="str">
        <f>IF('計算シート（電動式）'!H58=0,"-",'計算シート（電動式）'!H58)</f>
        <v>-</v>
      </c>
      <c r="K73" s="1145"/>
      <c r="L73" s="1145"/>
    </row>
    <row r="74" spans="1:20" ht="24" customHeight="1">
      <c r="B74" s="1206" t="s">
        <v>677</v>
      </c>
      <c r="C74" s="1206"/>
      <c r="D74" s="1206"/>
      <c r="E74" s="1206"/>
      <c r="F74" s="1103" t="s">
        <v>676</v>
      </c>
      <c r="G74" s="1133" t="str">
        <f>IF('計算シート（電動式）'!E63=0,"-",'計算シート（電動式）'!E63)</f>
        <v>-</v>
      </c>
      <c r="H74" s="1133"/>
      <c r="I74" s="1133"/>
      <c r="J74" s="1133" t="str">
        <f>IF('計算シート（電動式）'!H63=0,"-",'計算シート（電動式）'!H63)</f>
        <v>-</v>
      </c>
      <c r="K74" s="1133"/>
      <c r="L74" s="1133"/>
    </row>
    <row r="75" spans="1:20" ht="24" hidden="1" customHeight="1">
      <c r="A75" s="1104"/>
      <c r="B75" s="1206" t="s">
        <v>678</v>
      </c>
      <c r="C75" s="1206"/>
      <c r="D75" s="1206"/>
      <c r="E75" s="1206"/>
      <c r="F75" s="1101" t="s">
        <v>98</v>
      </c>
      <c r="G75" s="1207" t="str">
        <f>IF('計算シート（電動式）'!E64="0","-",'計算シート（電動式）'!E64)</f>
        <v>-</v>
      </c>
      <c r="H75" s="1207"/>
      <c r="I75" s="1207"/>
      <c r="J75" s="1133" t="str">
        <f>IF('計算シート（電動式）'!H64=0,"-",'計算シート（電動式）'!H64)</f>
        <v>-</v>
      </c>
      <c r="K75" s="1133"/>
      <c r="L75" s="1133"/>
      <c r="O75"/>
    </row>
    <row r="76" spans="1:20" ht="24" hidden="1" customHeight="1">
      <c r="A76" s="1104"/>
      <c r="B76" s="1206" t="s">
        <v>679</v>
      </c>
      <c r="C76" s="1206"/>
      <c r="D76" s="1206"/>
      <c r="E76" s="1206"/>
      <c r="F76" s="1101" t="s">
        <v>98</v>
      </c>
      <c r="G76" s="1133" t="str">
        <f>IF('計算シート（電動式）'!E65=0,"-",'計算シート（電動式）'!E65)</f>
        <v>-</v>
      </c>
      <c r="H76" s="1133"/>
      <c r="I76" s="1133"/>
      <c r="J76" s="1133" t="str">
        <f>IF('計算シート（電動式）'!H65=0,"-",'計算シート（電動式）'!H65)</f>
        <v>-</v>
      </c>
      <c r="K76" s="1133"/>
      <c r="L76" s="1133"/>
      <c r="M76" s="1105"/>
      <c r="S76"/>
      <c r="T76" s="1106"/>
    </row>
    <row r="77" spans="1:20" ht="24" hidden="1" customHeight="1">
      <c r="A77" s="1104"/>
      <c r="B77" s="1206" t="s">
        <v>680</v>
      </c>
      <c r="C77" s="1206"/>
      <c r="D77" s="1206"/>
      <c r="E77" s="1206"/>
      <c r="F77" s="1101" t="s">
        <v>98</v>
      </c>
      <c r="G77" s="1133" t="str">
        <f>IF('計算シート（電動式）'!E67=0,"-",'計算シート（電動式）'!E67)</f>
        <v>-</v>
      </c>
      <c r="H77" s="1133"/>
      <c r="I77" s="1133"/>
      <c r="J77" s="1133" t="str">
        <f>IF('計算シート（電動式）'!H67=0,"-",'計算シート（電動式）'!H67)</f>
        <v>-</v>
      </c>
      <c r="K77" s="1133"/>
      <c r="L77" s="1133"/>
      <c r="M77" s="1105"/>
      <c r="S77"/>
      <c r="T77" s="1106"/>
    </row>
    <row r="78" spans="1:20" ht="24" hidden="1" customHeight="1">
      <c r="A78" s="1104"/>
      <c r="B78" s="1206" t="s">
        <v>681</v>
      </c>
      <c r="C78" s="1206"/>
      <c r="D78" s="1206"/>
      <c r="E78" s="1206"/>
      <c r="F78" s="1101" t="s">
        <v>98</v>
      </c>
      <c r="G78" s="1133" t="str">
        <f>IF('計算シート（電動式）'!E68=0,"-",'計算シート（電動式）'!E68)</f>
        <v>-</v>
      </c>
      <c r="H78" s="1133"/>
      <c r="I78" s="1133"/>
      <c r="J78" s="1133" t="str">
        <f>IF('計算シート（電動式）'!H68=0,"-",'計算シート（電動式）'!H68)</f>
        <v>-</v>
      </c>
      <c r="K78" s="1133"/>
      <c r="L78" s="1133"/>
      <c r="O78"/>
    </row>
    <row r="79" spans="1:20" ht="24" customHeight="1">
      <c r="B79" s="1206" t="s">
        <v>169</v>
      </c>
      <c r="C79" s="1206"/>
      <c r="D79" s="1206"/>
      <c r="E79" s="1206"/>
      <c r="F79" s="1101" t="s">
        <v>98</v>
      </c>
      <c r="G79" s="1198" t="str">
        <f>IF('計算シート（電動式）'!E70=0,"-",'計算シート（電動式）'!E70)</f>
        <v>-</v>
      </c>
      <c r="H79" s="1198"/>
      <c r="I79" s="1198"/>
      <c r="J79" s="1198" t="str">
        <f>IF('計算シート（電動式）'!H70=0,"-",'計算シート（電動式）'!H70)</f>
        <v>-</v>
      </c>
      <c r="K79" s="1198"/>
      <c r="L79" s="1198"/>
      <c r="O79"/>
    </row>
    <row r="80" spans="1:20" ht="24" customHeight="1">
      <c r="B80" s="1206" t="s">
        <v>113</v>
      </c>
      <c r="C80" s="1206"/>
      <c r="D80" s="1206"/>
      <c r="E80" s="1206"/>
      <c r="F80" s="1101" t="s">
        <v>104</v>
      </c>
      <c r="G80" s="1199" t="str">
        <f>IF('計算シート（電動式）'!E73=0,"-",'計算シート（電動式）'!E73)</f>
        <v>-</v>
      </c>
      <c r="H80" s="1199"/>
      <c r="I80" s="1199"/>
      <c r="J80" s="1199" t="str">
        <f>IF('計算シート（電動式）'!H73=0,"-",'計算シート（電動式）'!H73)</f>
        <v>-</v>
      </c>
      <c r="K80" s="1199"/>
      <c r="L80" s="1199"/>
      <c r="O80" s="81"/>
      <c r="P80" s="1107"/>
    </row>
    <row r="81" spans="2:16" ht="24" customHeight="1">
      <c r="B81" s="1206" t="s">
        <v>114</v>
      </c>
      <c r="C81" s="1206"/>
      <c r="D81" s="1206"/>
      <c r="E81" s="1206"/>
      <c r="F81" s="1101" t="s">
        <v>105</v>
      </c>
      <c r="G81" s="1200"/>
      <c r="H81" s="1200"/>
      <c r="I81" s="1200"/>
      <c r="J81" s="1201" t="str">
        <f>IF(J80="-","-",'計算シート（電動式）'!H74)</f>
        <v>-</v>
      </c>
      <c r="K81" s="1201"/>
      <c r="L81" s="1201"/>
      <c r="O81" s="81"/>
      <c r="P81" s="1107"/>
    </row>
    <row r="82" spans="2:16" ht="24" customHeight="1">
      <c r="B82" s="1206" t="s">
        <v>100</v>
      </c>
      <c r="C82" s="1206"/>
      <c r="D82" s="1206"/>
      <c r="E82" s="1206"/>
      <c r="F82" s="1101" t="s">
        <v>835</v>
      </c>
      <c r="G82" s="1170" t="str">
        <f>IF('計算シート（電動式）'!E75=0,"-",'計算シート（電動式）'!E75)</f>
        <v>-</v>
      </c>
      <c r="H82" s="1170"/>
      <c r="I82" s="1170"/>
      <c r="J82" s="1198" t="str">
        <f>IF('計算シート（電動式）'!H75=0,"-",'計算シート（電動式）'!H75)</f>
        <v>-</v>
      </c>
      <c r="K82" s="1198"/>
      <c r="L82" s="1198"/>
    </row>
    <row r="83" spans="2:16" ht="7.9" customHeight="1">
      <c r="G83"/>
      <c r="H83"/>
      <c r="I83"/>
      <c r="J83"/>
    </row>
    <row r="93" spans="2:16">
      <c r="D93"/>
      <c r="E93"/>
      <c r="F93"/>
      <c r="G93"/>
      <c r="H93"/>
      <c r="I93"/>
      <c r="J93"/>
      <c r="K93"/>
    </row>
    <row r="94" spans="2:16">
      <c r="D94"/>
      <c r="E94"/>
      <c r="F94"/>
      <c r="G94"/>
      <c r="H94"/>
      <c r="I94"/>
      <c r="J94"/>
      <c r="K94"/>
    </row>
    <row r="95" spans="2:16">
      <c r="D95"/>
      <c r="E95"/>
      <c r="F95"/>
      <c r="G95"/>
      <c r="H95"/>
      <c r="I95"/>
      <c r="J95"/>
      <c r="K95"/>
    </row>
    <row r="96" spans="2:16">
      <c r="D96"/>
      <c r="E96"/>
      <c r="F96"/>
      <c r="G96"/>
      <c r="H96"/>
      <c r="I96"/>
      <c r="J96"/>
      <c r="K96"/>
    </row>
    <row r="97" spans="4:11">
      <c r="D97"/>
      <c r="E97"/>
      <c r="F97"/>
      <c r="G97"/>
      <c r="H97"/>
      <c r="I97"/>
      <c r="J97"/>
      <c r="K97"/>
    </row>
    <row r="98" spans="4:11">
      <c r="D98"/>
      <c r="E98"/>
      <c r="F98"/>
      <c r="G98"/>
      <c r="H98"/>
      <c r="I98"/>
      <c r="J98"/>
      <c r="K98"/>
    </row>
    <row r="99" spans="4:11">
      <c r="D99"/>
      <c r="E99"/>
      <c r="F99"/>
      <c r="G99"/>
      <c r="H99"/>
      <c r="I99"/>
      <c r="J99"/>
      <c r="K99"/>
    </row>
    <row r="100" spans="4:11">
      <c r="D100"/>
      <c r="E100"/>
      <c r="F100"/>
      <c r="G100"/>
      <c r="H100"/>
      <c r="I100"/>
      <c r="J100"/>
      <c r="K100"/>
    </row>
    <row r="101" spans="4:11">
      <c r="D101"/>
      <c r="E101"/>
      <c r="F101"/>
      <c r="G101"/>
      <c r="H101"/>
      <c r="I101"/>
      <c r="J101"/>
      <c r="K101"/>
    </row>
  </sheetData>
  <sheetProtection algorithmName="SHA-512" hashValue="Pro9qEG7Z1UnDOsVkUy4Sj1XooKJwVj7iYusUeK2KftKduuhsFgsvZ7y0Hqls9axX92DPLXeP0tfxazAO4HEyQ==" saltValue="YN8pfeBJJbH+ca8zQkqmnQ==" spinCount="100000" sheet="1" objects="1" scenarios="1" selectLockedCells="1"/>
  <mergeCells count="120">
    <mergeCell ref="J82:L82"/>
    <mergeCell ref="B68:F68"/>
    <mergeCell ref="B69:F69"/>
    <mergeCell ref="B70:E70"/>
    <mergeCell ref="B71:E71"/>
    <mergeCell ref="B72:E72"/>
    <mergeCell ref="B73:E73"/>
    <mergeCell ref="B74:E74"/>
    <mergeCell ref="B75:E75"/>
    <mergeCell ref="B76:E76"/>
    <mergeCell ref="B77:E77"/>
    <mergeCell ref="B78:E78"/>
    <mergeCell ref="B79:E79"/>
    <mergeCell ref="B80:E80"/>
    <mergeCell ref="B81:E81"/>
    <mergeCell ref="B82:E82"/>
    <mergeCell ref="G68:I68"/>
    <mergeCell ref="J68:L68"/>
    <mergeCell ref="G69:I69"/>
    <mergeCell ref="G70:I70"/>
    <mergeCell ref="G71:I71"/>
    <mergeCell ref="G73:I73"/>
    <mergeCell ref="G74:I74"/>
    <mergeCell ref="G75:I75"/>
    <mergeCell ref="L12:M12"/>
    <mergeCell ref="G76:I76"/>
    <mergeCell ref="G77:I77"/>
    <mergeCell ref="G78:I78"/>
    <mergeCell ref="G79:I79"/>
    <mergeCell ref="G80:I80"/>
    <mergeCell ref="J79:L79"/>
    <mergeCell ref="J80:L80"/>
    <mergeCell ref="G81:I81"/>
    <mergeCell ref="J81:L81"/>
    <mergeCell ref="A39:M39"/>
    <mergeCell ref="L13:M13"/>
    <mergeCell ref="L14:M14"/>
    <mergeCell ref="B11:B12"/>
    <mergeCell ref="C11:E12"/>
    <mergeCell ref="L41:M41"/>
    <mergeCell ref="K20:K37"/>
    <mergeCell ref="L20:M20"/>
    <mergeCell ref="L25:M25"/>
    <mergeCell ref="L26:M26"/>
    <mergeCell ref="L27:M27"/>
    <mergeCell ref="L28:M28"/>
    <mergeCell ref="L29:M29"/>
    <mergeCell ref="L15:M15"/>
    <mergeCell ref="G82:I82"/>
    <mergeCell ref="J69:L69"/>
    <mergeCell ref="J70:L70"/>
    <mergeCell ref="J71:L71"/>
    <mergeCell ref="A1:M1"/>
    <mergeCell ref="A2:M2"/>
    <mergeCell ref="A4:A5"/>
    <mergeCell ref="B4:J5"/>
    <mergeCell ref="K4:K5"/>
    <mergeCell ref="L4:M5"/>
    <mergeCell ref="A19:A38"/>
    <mergeCell ref="L21:M21"/>
    <mergeCell ref="L22:M22"/>
    <mergeCell ref="L23:M23"/>
    <mergeCell ref="L24:M24"/>
    <mergeCell ref="L30:M30"/>
    <mergeCell ref="A7:A17"/>
    <mergeCell ref="L7:M7"/>
    <mergeCell ref="K8:K16"/>
    <mergeCell ref="L8:M8"/>
    <mergeCell ref="L9:M9"/>
    <mergeCell ref="L10:M10"/>
    <mergeCell ref="L11:M11"/>
    <mergeCell ref="A63:M63"/>
    <mergeCell ref="L16:M16"/>
    <mergeCell ref="L31:M31"/>
    <mergeCell ref="L32:M32"/>
    <mergeCell ref="L33:M33"/>
    <mergeCell ref="L34:M34"/>
    <mergeCell ref="L36:M36"/>
    <mergeCell ref="L35:M35"/>
    <mergeCell ref="L37:M37"/>
    <mergeCell ref="B14:B15"/>
    <mergeCell ref="C14:E15"/>
    <mergeCell ref="A43:A62"/>
    <mergeCell ref="L49:M49"/>
    <mergeCell ref="L50:M50"/>
    <mergeCell ref="L51:M51"/>
    <mergeCell ref="L52:M52"/>
    <mergeCell ref="L53:M53"/>
    <mergeCell ref="K44:K61"/>
    <mergeCell ref="L44:M44"/>
    <mergeCell ref="L45:M45"/>
    <mergeCell ref="L46:M46"/>
    <mergeCell ref="L47:M47"/>
    <mergeCell ref="L48:M48"/>
    <mergeCell ref="L54:M54"/>
    <mergeCell ref="L55:M55"/>
    <mergeCell ref="J74:L74"/>
    <mergeCell ref="J75:L75"/>
    <mergeCell ref="J76:L76"/>
    <mergeCell ref="J77:L77"/>
    <mergeCell ref="J78:L78"/>
    <mergeCell ref="L60:M60"/>
    <mergeCell ref="B26:B27"/>
    <mergeCell ref="C33:E34"/>
    <mergeCell ref="B33:B34"/>
    <mergeCell ref="B50:B51"/>
    <mergeCell ref="B56:B57"/>
    <mergeCell ref="C50:E51"/>
    <mergeCell ref="C56:E57"/>
    <mergeCell ref="C26:E27"/>
    <mergeCell ref="L64:M64"/>
    <mergeCell ref="L56:M56"/>
    <mergeCell ref="L57:M57"/>
    <mergeCell ref="L58:M58"/>
    <mergeCell ref="L59:M59"/>
    <mergeCell ref="L61:M61"/>
    <mergeCell ref="L62:M62"/>
    <mergeCell ref="J72:L72"/>
    <mergeCell ref="J73:L73"/>
    <mergeCell ref="G72:I72"/>
  </mergeCells>
  <phoneticPr fontId="7"/>
  <conditionalFormatting sqref="P9">
    <cfRule type="expression" dxfId="7" priority="2">
      <formula>IF(L4="EHP",L11:L16="★","")</formula>
    </cfRule>
  </conditionalFormatting>
  <dataValidations count="1">
    <dataValidation type="list" allowBlank="1" showInputMessage="1" showErrorMessage="1" sqref="L41:M41 L4:M5" xr:uid="{EE65958F-10ED-4804-9F24-24E525E4A3A9}">
      <formula1>",　,遠心/空冷/水冷,空冷HPチラー,水冷HPチラー,EHP"</formula1>
    </dataValidation>
  </dataValidations>
  <printOptions horizontalCentered="1"/>
  <pageMargins left="0.23622047244094491" right="0.23622047244094491" top="0.55118110236220474" bottom="0.55118110236220474" header="0.31496062992125984" footer="0.31496062992125984"/>
  <pageSetup paperSize="9" scale="72" fitToHeight="0" orientation="portrait" r:id="rId1"/>
  <rowBreaks count="1" manualBreakCount="1">
    <brk id="64"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12FD-9543-4E1E-AA09-70F62A5E002F}">
  <sheetPr>
    <tabColor theme="5" tint="-0.249977111117893"/>
    <pageSetUpPr fitToPage="1"/>
  </sheetPr>
  <dimension ref="A1:AD116"/>
  <sheetViews>
    <sheetView topLeftCell="A3" workbookViewId="0">
      <selection activeCell="H87" sqref="H87"/>
    </sheetView>
  </sheetViews>
  <sheetFormatPr defaultColWidth="8.75" defaultRowHeight="18.75"/>
  <cols>
    <col min="1" max="3" width="8.75" style="1" customWidth="1"/>
    <col min="4" max="4" width="6.875" style="1" customWidth="1"/>
    <col min="5" max="5" width="12.75" style="1" customWidth="1"/>
    <col min="6" max="6" width="11.5" style="1" customWidth="1"/>
    <col min="7" max="7" width="8.75" style="1" customWidth="1"/>
    <col min="8" max="8" width="12.75" style="1" customWidth="1"/>
    <col min="9" max="9" width="9.75" style="1" bestFit="1" customWidth="1"/>
    <col min="10" max="10" width="14.25" style="34" customWidth="1"/>
    <col min="11" max="13" width="8.75" style="1" customWidth="1"/>
    <col min="14" max="14" width="8.875" style="1" customWidth="1"/>
    <col min="15" max="16" width="10.875" style="1" customWidth="1"/>
    <col min="17" max="18" width="9.75" style="1" customWidth="1"/>
    <col min="19" max="19" width="11.75" style="1" bestFit="1" customWidth="1"/>
    <col min="20" max="31" width="9.75" style="1" customWidth="1"/>
    <col min="32" max="16384" width="8.75" style="1"/>
  </cols>
  <sheetData>
    <row r="1" spans="1:29" ht="19.149999999999999" customHeight="1" thickBot="1">
      <c r="A1" s="83" t="s">
        <v>180</v>
      </c>
      <c r="B1" s="1217">
        <f>'2-1 算定シート（電動式）'!L4</f>
        <v>0</v>
      </c>
      <c r="C1" s="1218"/>
      <c r="H1" s="11"/>
      <c r="J1" s="1"/>
      <c r="U1" s="915" t="s">
        <v>611</v>
      </c>
      <c r="V1" s="465"/>
      <c r="W1" s="465"/>
      <c r="X1" s="465"/>
      <c r="Y1" s="465"/>
      <c r="Z1" s="916"/>
      <c r="AA1" s="465"/>
      <c r="AB1" s="465"/>
      <c r="AC1" s="465"/>
    </row>
    <row r="2" spans="1:29" ht="18.600000000000001" customHeight="1" thickBot="1">
      <c r="A2" s="83" t="s">
        <v>103</v>
      </c>
      <c r="B2" s="83"/>
      <c r="E2" s="658" t="s">
        <v>79</v>
      </c>
      <c r="F2" s="93" t="s">
        <v>77</v>
      </c>
      <c r="G2" s="93"/>
      <c r="H2" s="322" t="s">
        <v>98</v>
      </c>
      <c r="I2" s="168">
        <f>'2-1 算定シート（電動式）'!L8</f>
        <v>0</v>
      </c>
      <c r="L2"/>
      <c r="N2"/>
      <c r="Q2"/>
      <c r="R2"/>
      <c r="S2"/>
      <c r="U2" s="1214" t="s">
        <v>343</v>
      </c>
      <c r="V2" s="1215"/>
      <c r="W2" s="1215"/>
      <c r="X2" s="1216"/>
      <c r="Y2" s="917" t="s">
        <v>300</v>
      </c>
      <c r="Z2" s="918" t="s">
        <v>300</v>
      </c>
      <c r="AA2" s="918" t="s">
        <v>302</v>
      </c>
      <c r="AB2" s="918" t="s">
        <v>304</v>
      </c>
      <c r="AC2" s="917" t="s">
        <v>465</v>
      </c>
    </row>
    <row r="3" spans="1:29" ht="18.600000000000001" customHeight="1" thickBot="1">
      <c r="C3" s="12" t="s">
        <v>606</v>
      </c>
      <c r="E3" s="151" t="s">
        <v>78</v>
      </c>
      <c r="F3" s="11" t="s">
        <v>80</v>
      </c>
      <c r="G3" s="11"/>
      <c r="H3" s="323" t="s">
        <v>98</v>
      </c>
      <c r="I3" s="169">
        <f>'2-1 算定シート（電動式）'!L9</f>
        <v>0</v>
      </c>
      <c r="J3" s="42"/>
      <c r="K3"/>
      <c r="L3" s="393" t="str">
        <f>IF(I3&lt;&gt;0,I3,IF(I5&lt;&gt;0,I5,IF(I7&lt;&gt;0,I7,"0")))</f>
        <v>0</v>
      </c>
      <c r="M3" s="150" t="s">
        <v>616</v>
      </c>
      <c r="U3" s="919" t="s">
        <v>346</v>
      </c>
      <c r="V3" s="919"/>
      <c r="W3" s="919" t="s">
        <v>270</v>
      </c>
      <c r="X3" s="920" t="s">
        <v>272</v>
      </c>
      <c r="Y3" s="921" t="str">
        <f>L13</f>
        <v>0</v>
      </c>
      <c r="Z3" s="922" t="s">
        <v>347</v>
      </c>
      <c r="AA3" s="923" t="str">
        <f>L13</f>
        <v>0</v>
      </c>
      <c r="AB3" s="923" t="str">
        <f>L13</f>
        <v>0</v>
      </c>
      <c r="AC3" s="923" t="str">
        <f>L13</f>
        <v>0</v>
      </c>
    </row>
    <row r="4" spans="1:29" ht="19.149999999999999" customHeight="1" thickBot="1">
      <c r="E4" s="162"/>
      <c r="F4" s="95" t="s">
        <v>81</v>
      </c>
      <c r="G4" s="96"/>
      <c r="H4" s="322" t="s">
        <v>98</v>
      </c>
      <c r="I4" s="167">
        <f>'2-1 算定シート（電動式）'!L10</f>
        <v>0</v>
      </c>
      <c r="J4" s="42">
        <f>I3+I4</f>
        <v>0</v>
      </c>
      <c r="K4"/>
      <c r="L4" s="168">
        <f>IF(I8=0,I4,I8)</f>
        <v>0</v>
      </c>
      <c r="M4" s="150" t="s">
        <v>617</v>
      </c>
      <c r="U4" s="919" t="s">
        <v>273</v>
      </c>
      <c r="V4" s="919"/>
      <c r="W4" s="919" t="s">
        <v>274</v>
      </c>
      <c r="X4" s="920" t="s">
        <v>272</v>
      </c>
      <c r="Y4" s="921">
        <f>L14</f>
        <v>0</v>
      </c>
      <c r="Z4" s="922" t="s">
        <v>348</v>
      </c>
      <c r="AA4" s="923">
        <f>L14</f>
        <v>0</v>
      </c>
      <c r="AB4" s="923">
        <f>L14</f>
        <v>0</v>
      </c>
      <c r="AC4" s="923"/>
    </row>
    <row r="5" spans="1:29" ht="19.149999999999999" customHeight="1" thickBot="1">
      <c r="A5" s="150" t="s">
        <v>643</v>
      </c>
      <c r="E5" s="163" t="s">
        <v>82</v>
      </c>
      <c r="F5" s="27" t="s">
        <v>106</v>
      </c>
      <c r="G5" s="94"/>
      <c r="H5" s="323" t="s">
        <v>98</v>
      </c>
      <c r="I5" s="297">
        <f>'2-1 算定シート（電動式）'!L11</f>
        <v>0</v>
      </c>
      <c r="J5" s="1"/>
      <c r="K5"/>
      <c r="L5" s="168">
        <f>IF(I6=0,I9,I6)</f>
        <v>0</v>
      </c>
      <c r="M5" s="150" t="s">
        <v>618</v>
      </c>
      <c r="U5" s="919" t="s">
        <v>322</v>
      </c>
      <c r="V5" s="919"/>
      <c r="W5" s="919" t="s">
        <v>276</v>
      </c>
      <c r="X5" s="920" t="s">
        <v>272</v>
      </c>
      <c r="Y5" s="921" t="str">
        <f>L15</f>
        <v>0</v>
      </c>
      <c r="Z5" s="462"/>
      <c r="AA5" s="923" t="str">
        <f>L15</f>
        <v>0</v>
      </c>
      <c r="AB5" s="923" t="str">
        <f>L15</f>
        <v>0</v>
      </c>
      <c r="AC5" s="923" t="str">
        <f t="shared" ref="AC5" si="0">L15</f>
        <v>0</v>
      </c>
    </row>
    <row r="6" spans="1:29" ht="20.25" thickBot="1">
      <c r="E6" s="162"/>
      <c r="F6" s="95" t="s">
        <v>609</v>
      </c>
      <c r="G6" s="96"/>
      <c r="H6" s="322" t="s">
        <v>98</v>
      </c>
      <c r="I6" s="298">
        <f>'2-1 算定シート（電動式）'!L12</f>
        <v>0</v>
      </c>
      <c r="J6" s="42">
        <f>I5+I6</f>
        <v>0</v>
      </c>
      <c r="K6"/>
      <c r="L6" s="168">
        <f>I10</f>
        <v>0</v>
      </c>
      <c r="M6" s="150" t="s">
        <v>619</v>
      </c>
      <c r="N6"/>
      <c r="O6" s="87"/>
      <c r="P6" s="87"/>
      <c r="U6" s="919" t="s">
        <v>323</v>
      </c>
      <c r="V6" s="919"/>
      <c r="W6" s="919" t="s">
        <v>279</v>
      </c>
      <c r="X6" s="920" t="s">
        <v>272</v>
      </c>
      <c r="Y6" s="921">
        <f>L16</f>
        <v>0</v>
      </c>
      <c r="Z6" s="924"/>
      <c r="AA6" s="923">
        <f>L16</f>
        <v>0</v>
      </c>
      <c r="AB6" s="923">
        <f>L16</f>
        <v>0</v>
      </c>
      <c r="AC6" s="923"/>
    </row>
    <row r="7" spans="1:29" ht="19.149999999999999" customHeight="1">
      <c r="E7" s="163" t="s">
        <v>83</v>
      </c>
      <c r="F7" s="27" t="s">
        <v>84</v>
      </c>
      <c r="G7" s="94"/>
      <c r="H7" s="323" t="s">
        <v>98</v>
      </c>
      <c r="I7" s="170">
        <f>'2-1 算定シート（電動式）'!L13</f>
        <v>0</v>
      </c>
      <c r="J7" s="42"/>
      <c r="K7"/>
      <c r="U7" s="919" t="s">
        <v>349</v>
      </c>
      <c r="V7" s="925"/>
      <c r="W7" s="926"/>
      <c r="X7" s="927" t="s">
        <v>350</v>
      </c>
      <c r="Y7" s="928" t="e">
        <f>Y3/Y5</f>
        <v>#DIV/0!</v>
      </c>
      <c r="Z7" s="929"/>
      <c r="AA7" s="928" t="e">
        <f>AA3/AA5</f>
        <v>#DIV/0!</v>
      </c>
      <c r="AB7" s="928" t="e">
        <f>AB3/AB5*G82</f>
        <v>#DIV/0!</v>
      </c>
      <c r="AC7" s="928" t="e">
        <f>AC3/AC5</f>
        <v>#DIV/0!</v>
      </c>
    </row>
    <row r="8" spans="1:29" ht="19.5">
      <c r="A8" s="150" t="s">
        <v>608</v>
      </c>
      <c r="E8" s="156"/>
      <c r="F8" s="28" t="s">
        <v>85</v>
      </c>
      <c r="G8" s="85"/>
      <c r="H8" s="324" t="s">
        <v>98</v>
      </c>
      <c r="I8" s="171">
        <f>'2-1 算定シート（電動式）'!L14</f>
        <v>0</v>
      </c>
      <c r="J8" s="42"/>
      <c r="K8"/>
      <c r="U8" s="919" t="s">
        <v>584</v>
      </c>
      <c r="V8" s="925"/>
      <c r="W8" s="926"/>
      <c r="X8" s="927" t="s">
        <v>350</v>
      </c>
      <c r="Y8" s="928" t="e">
        <f>Y4/Y6</f>
        <v>#DIV/0!</v>
      </c>
      <c r="Z8" s="929"/>
      <c r="AA8" s="928" t="e">
        <f>AA4/AA6</f>
        <v>#DIV/0!</v>
      </c>
      <c r="AB8" s="928" t="e">
        <f>AB4/AB6</f>
        <v>#DIV/0!</v>
      </c>
      <c r="AC8" s="929"/>
    </row>
    <row r="9" spans="1:29" ht="18.600000000000001" customHeight="1">
      <c r="E9" s="156"/>
      <c r="F9" s="28" t="s">
        <v>127</v>
      </c>
      <c r="G9" s="85"/>
      <c r="H9" s="324" t="s">
        <v>98</v>
      </c>
      <c r="I9" s="171">
        <f>'2-1 算定シート（電動式）'!L15</f>
        <v>0</v>
      </c>
      <c r="J9" s="42"/>
      <c r="K9"/>
      <c r="U9" s="919" t="s">
        <v>288</v>
      </c>
      <c r="V9" s="919"/>
      <c r="W9" s="919"/>
      <c r="X9" s="920" t="s">
        <v>272</v>
      </c>
      <c r="Y9" s="922"/>
      <c r="Z9" s="922"/>
      <c r="AA9" s="921">
        <f>IF(I23=0,I26,I23)</f>
        <v>0</v>
      </c>
      <c r="AB9" s="930">
        <f>I26</f>
        <v>0</v>
      </c>
      <c r="AC9" s="921">
        <f>I23</f>
        <v>0</v>
      </c>
    </row>
    <row r="10" spans="1:29" ht="18.600000000000001" customHeight="1" thickBot="1">
      <c r="E10" s="161"/>
      <c r="F10" s="93" t="s">
        <v>128</v>
      </c>
      <c r="G10" s="93"/>
      <c r="H10" s="322" t="s">
        <v>98</v>
      </c>
      <c r="I10" s="293">
        <f>'2-1 算定シート（電動式）'!L16</f>
        <v>0</v>
      </c>
      <c r="J10" s="388">
        <f>I7+I8+I9+I10</f>
        <v>0</v>
      </c>
      <c r="K10"/>
      <c r="L10"/>
      <c r="N10" s="87"/>
      <c r="U10" s="919" t="s">
        <v>290</v>
      </c>
      <c r="V10" s="919"/>
      <c r="W10" s="919"/>
      <c r="X10" s="920" t="s">
        <v>272</v>
      </c>
      <c r="Y10" s="922"/>
      <c r="Z10" s="922"/>
      <c r="AA10" s="921">
        <f>IF(I24=0,I27,I24)</f>
        <v>0</v>
      </c>
      <c r="AB10" s="930">
        <f t="shared" ref="AB10:AB11" si="1">I27</f>
        <v>0</v>
      </c>
      <c r="AC10" s="921">
        <f t="shared" ref="AC10:AC11" si="2">I24</f>
        <v>0</v>
      </c>
    </row>
    <row r="11" spans="1:29" ht="18.600000000000001" customHeight="1" thickBot="1">
      <c r="E11" s="86"/>
      <c r="F11" s="2"/>
      <c r="G11" s="2"/>
      <c r="H11" s="321"/>
      <c r="J11" s="51"/>
      <c r="L11" s="51"/>
      <c r="M11"/>
      <c r="U11" s="919" t="s">
        <v>292</v>
      </c>
      <c r="V11" s="919"/>
      <c r="W11" s="919"/>
      <c r="X11" s="920" t="s">
        <v>272</v>
      </c>
      <c r="Y11" s="922"/>
      <c r="Z11" s="922"/>
      <c r="AA11" s="921">
        <f>IF(I25=0,I28,I25)</f>
        <v>0</v>
      </c>
      <c r="AB11" s="930">
        <f t="shared" si="1"/>
        <v>0</v>
      </c>
      <c r="AC11" s="921">
        <f t="shared" si="2"/>
        <v>0</v>
      </c>
    </row>
    <row r="12" spans="1:29" ht="18.600000000000001" customHeight="1" thickBot="1">
      <c r="A12" s="83" t="s">
        <v>144</v>
      </c>
      <c r="B12" s="83"/>
      <c r="E12" s="164" t="s">
        <v>79</v>
      </c>
      <c r="F12" s="657" t="s">
        <v>110</v>
      </c>
      <c r="G12" s="93"/>
      <c r="H12" s="325" t="s">
        <v>174</v>
      </c>
      <c r="I12" s="177">
        <f>'2-1 算定シート（電動式）'!L20</f>
        <v>0</v>
      </c>
      <c r="J12" s="51"/>
      <c r="Q12" s="1" t="s">
        <v>624</v>
      </c>
      <c r="U12" s="919" t="s">
        <v>385</v>
      </c>
      <c r="V12" s="919"/>
      <c r="W12" s="919"/>
      <c r="X12" s="920" t="s">
        <v>272</v>
      </c>
      <c r="Y12" s="922"/>
      <c r="Z12" s="922"/>
      <c r="AA12" s="922"/>
      <c r="AB12" s="930">
        <f>I29</f>
        <v>0</v>
      </c>
      <c r="AC12" s="922"/>
    </row>
    <row r="13" spans="1:29" ht="18.600000000000001" customHeight="1" thickBot="1">
      <c r="C13" s="12" t="s">
        <v>123</v>
      </c>
      <c r="E13" s="154" t="s">
        <v>78</v>
      </c>
      <c r="F13" s="155" t="s">
        <v>87</v>
      </c>
      <c r="G13" s="155"/>
      <c r="H13" s="326" t="s">
        <v>99</v>
      </c>
      <c r="I13" s="174">
        <f>'2-1 算定シート（電動式）'!L21</f>
        <v>0</v>
      </c>
      <c r="J13" s="51"/>
      <c r="K13"/>
      <c r="L13" s="390" t="str">
        <f>IF(I13&lt;&gt;0,I13,IF(I17&lt;&gt;0,I17,IF(I21&lt;&gt;0,I21,"0")))</f>
        <v>0</v>
      </c>
      <c r="M13" s="150" t="s">
        <v>620</v>
      </c>
      <c r="U13" s="925" t="s">
        <v>285</v>
      </c>
      <c r="V13" s="931"/>
      <c r="W13" s="926"/>
      <c r="X13" s="927" t="s">
        <v>350</v>
      </c>
      <c r="Y13" s="922"/>
      <c r="Z13" s="921">
        <f>I12</f>
        <v>0</v>
      </c>
      <c r="AA13" s="929"/>
      <c r="AB13" s="922"/>
      <c r="AC13" s="922"/>
    </row>
    <row r="14" spans="1:29" ht="18.600000000000001" customHeight="1" thickBot="1">
      <c r="E14" s="157"/>
      <c r="F14" s="158" t="s">
        <v>88</v>
      </c>
      <c r="G14" s="158"/>
      <c r="H14" s="327" t="s">
        <v>99</v>
      </c>
      <c r="I14" s="175">
        <f>'2-1 算定シート（電動式）'!L22</f>
        <v>0</v>
      </c>
      <c r="J14" s="51"/>
      <c r="K14"/>
      <c r="L14" s="391">
        <f>IF(I14=0,I18,I14)</f>
        <v>0</v>
      </c>
      <c r="M14" s="150" t="s">
        <v>621</v>
      </c>
      <c r="U14" s="919" t="s">
        <v>585</v>
      </c>
      <c r="V14" s="919"/>
      <c r="W14" s="919"/>
      <c r="X14" s="920" t="s">
        <v>486</v>
      </c>
      <c r="Y14" s="932" t="str">
        <f>L3</f>
        <v>0</v>
      </c>
      <c r="Z14" s="933" t="str">
        <f>L3</f>
        <v>0</v>
      </c>
      <c r="AA14" s="934" t="str">
        <f>L3</f>
        <v>0</v>
      </c>
      <c r="AB14" s="934" t="str">
        <f>L3</f>
        <v>0</v>
      </c>
      <c r="AC14" s="935" t="str">
        <f>L3</f>
        <v>0</v>
      </c>
    </row>
    <row r="15" spans="1:29" ht="18.600000000000001" customHeight="1" thickBot="1">
      <c r="E15" s="157"/>
      <c r="F15" s="158" t="s">
        <v>89</v>
      </c>
      <c r="G15" s="158"/>
      <c r="H15" s="328" t="s">
        <v>99</v>
      </c>
      <c r="I15" s="176">
        <f>'2-1 算定シート（電動式）'!L23</f>
        <v>0</v>
      </c>
      <c r="J15" s="51"/>
      <c r="K15"/>
      <c r="L15" s="390" t="str">
        <f>IF(I15&lt;&gt;0,I15,IF(I19&lt;&gt;0,I19,IF(I22&lt;&gt;0,I22,"0")))</f>
        <v>0</v>
      </c>
      <c r="M15" s="150" t="s">
        <v>622</v>
      </c>
      <c r="U15" s="919" t="s">
        <v>587</v>
      </c>
      <c r="V15" s="919"/>
      <c r="W15" s="919"/>
      <c r="X15" s="920" t="s">
        <v>486</v>
      </c>
      <c r="Y15" s="932">
        <f>L4</f>
        <v>0</v>
      </c>
      <c r="Z15" s="933">
        <f>L4</f>
        <v>0</v>
      </c>
      <c r="AA15" s="934">
        <f>L4</f>
        <v>0</v>
      </c>
      <c r="AB15" s="934">
        <f>L4</f>
        <v>0</v>
      </c>
      <c r="AC15" s="935">
        <f>L4</f>
        <v>0</v>
      </c>
    </row>
    <row r="16" spans="1:29" ht="18.600000000000001" customHeight="1" thickBot="1">
      <c r="E16" s="164"/>
      <c r="F16" s="159" t="s">
        <v>90</v>
      </c>
      <c r="G16" s="159"/>
      <c r="H16" s="325" t="s">
        <v>99</v>
      </c>
      <c r="I16" s="167">
        <f>'2-1 算定シート（電動式）'!L24</f>
        <v>0</v>
      </c>
      <c r="J16" s="51"/>
      <c r="K16"/>
      <c r="L16" s="392">
        <f>IF(I16=0,I20,I16)</f>
        <v>0</v>
      </c>
      <c r="M16" s="150" t="s">
        <v>623</v>
      </c>
      <c r="U16" s="919" t="s">
        <v>588</v>
      </c>
      <c r="V16" s="919"/>
      <c r="W16" s="919"/>
      <c r="X16" s="920" t="s">
        <v>848</v>
      </c>
      <c r="Y16" s="933">
        <f>Y14+Y15</f>
        <v>0</v>
      </c>
      <c r="Z16" s="933">
        <f>Z14+Z15</f>
        <v>0</v>
      </c>
      <c r="AA16" s="933">
        <f>AA14+AA15</f>
        <v>0</v>
      </c>
      <c r="AB16" s="933">
        <f>AB14+AB15</f>
        <v>0</v>
      </c>
      <c r="AC16" s="933">
        <f>AC14+AC15</f>
        <v>0</v>
      </c>
    </row>
    <row r="17" spans="1:29" ht="18.600000000000001" customHeight="1">
      <c r="E17" s="154" t="s">
        <v>83</v>
      </c>
      <c r="F17" s="155" t="s">
        <v>87</v>
      </c>
      <c r="G17" s="155"/>
      <c r="H17" s="326" t="s">
        <v>99</v>
      </c>
      <c r="I17" s="166">
        <f>'2-1 算定シート（電動式）'!L30</f>
        <v>0</v>
      </c>
      <c r="J17" s="51"/>
      <c r="K17"/>
      <c r="U17" s="919" t="s">
        <v>357</v>
      </c>
      <c r="V17" s="919"/>
      <c r="W17" s="919"/>
      <c r="X17" s="920" t="s">
        <v>486</v>
      </c>
      <c r="Y17" s="919"/>
      <c r="Z17" s="919" t="s">
        <v>671</v>
      </c>
      <c r="AA17" s="934">
        <f>L5</f>
        <v>0</v>
      </c>
      <c r="AB17" s="935">
        <f>L5</f>
        <v>0</v>
      </c>
      <c r="AC17" s="935">
        <f>L5</f>
        <v>0</v>
      </c>
    </row>
    <row r="18" spans="1:29" ht="18.600000000000001" customHeight="1">
      <c r="A18" s="150" t="s">
        <v>608</v>
      </c>
      <c r="E18" s="158"/>
      <c r="F18" s="158" t="s">
        <v>88</v>
      </c>
      <c r="G18" s="158"/>
      <c r="H18" s="328" t="s">
        <v>99</v>
      </c>
      <c r="I18" s="176">
        <f>'2-1 算定シート（電動式）'!L31</f>
        <v>0</v>
      </c>
      <c r="J18" s="51"/>
      <c r="K18"/>
      <c r="U18" s="919" t="s">
        <v>358</v>
      </c>
      <c r="V18" s="919"/>
      <c r="W18" s="919"/>
      <c r="X18" s="920" t="s">
        <v>486</v>
      </c>
      <c r="Y18" s="919"/>
      <c r="Z18" s="919"/>
      <c r="AA18" s="934">
        <f>L6</f>
        <v>0</v>
      </c>
      <c r="AB18" s="936">
        <f>L6</f>
        <v>0</v>
      </c>
      <c r="AC18" s="935"/>
    </row>
    <row r="19" spans="1:29" ht="18.600000000000001" customHeight="1">
      <c r="E19" s="158"/>
      <c r="F19" s="158" t="s">
        <v>91</v>
      </c>
      <c r="G19" s="158"/>
      <c r="H19" s="328" t="s">
        <v>99</v>
      </c>
      <c r="I19" s="176">
        <f>'2-1 算定シート（電動式）'!L32</f>
        <v>0</v>
      </c>
      <c r="J19" s="51"/>
      <c r="U19" s="919" t="s">
        <v>589</v>
      </c>
      <c r="V19" s="919"/>
      <c r="W19" s="919"/>
      <c r="X19" s="920" t="s">
        <v>848</v>
      </c>
      <c r="Y19" s="937"/>
      <c r="Z19" s="937"/>
      <c r="AA19" s="934">
        <f>AA17+AA18</f>
        <v>0</v>
      </c>
      <c r="AB19" s="938">
        <f>AB17+AB18</f>
        <v>0</v>
      </c>
      <c r="AC19" s="939">
        <f>AC17+AC18</f>
        <v>0</v>
      </c>
    </row>
    <row r="20" spans="1:29" ht="18.600000000000001" customHeight="1" thickBot="1">
      <c r="E20" s="655"/>
      <c r="F20" s="655" t="s">
        <v>92</v>
      </c>
      <c r="G20" s="655"/>
      <c r="H20" s="656" t="s">
        <v>99</v>
      </c>
      <c r="I20" s="166">
        <f>'2-1 算定シート（電動式）'!L33</f>
        <v>0</v>
      </c>
      <c r="J20" s="51"/>
      <c r="U20" s="919" t="s">
        <v>590</v>
      </c>
      <c r="V20" s="919"/>
      <c r="W20" s="919"/>
      <c r="X20" s="920" t="s">
        <v>848</v>
      </c>
      <c r="Y20" s="939">
        <f>Y16</f>
        <v>0</v>
      </c>
      <c r="Z20" s="939">
        <f>I2</f>
        <v>0</v>
      </c>
      <c r="AA20" s="939">
        <f>AA16+AA19</f>
        <v>0</v>
      </c>
      <c r="AB20" s="939">
        <f>AB16+AB19</f>
        <v>0</v>
      </c>
      <c r="AC20" s="939">
        <f>AC16+AC19</f>
        <v>0</v>
      </c>
    </row>
    <row r="21" spans="1:29" ht="18.600000000000001" customHeight="1">
      <c r="A21" s="150" t="s">
        <v>643</v>
      </c>
      <c r="E21" s="333" t="s">
        <v>82</v>
      </c>
      <c r="F21" s="334" t="s">
        <v>87</v>
      </c>
      <c r="G21" s="334"/>
      <c r="H21" s="326" t="s">
        <v>99</v>
      </c>
      <c r="I21" s="297">
        <f>'2-1 算定シート（電動式）'!L25</f>
        <v>0</v>
      </c>
      <c r="J21" s="51"/>
      <c r="U21" s="919" t="s">
        <v>387</v>
      </c>
      <c r="V21" s="465"/>
      <c r="W21" s="926"/>
      <c r="X21" s="920" t="s">
        <v>592</v>
      </c>
      <c r="Y21" s="940">
        <f>Y16*E80</f>
        <v>0</v>
      </c>
      <c r="Z21" s="941"/>
      <c r="AA21" s="940">
        <f>AA16*E80</f>
        <v>0</v>
      </c>
      <c r="AB21" s="940">
        <f>AB16*E80</f>
        <v>0</v>
      </c>
      <c r="AC21" s="940">
        <f>AC16*E80</f>
        <v>0</v>
      </c>
    </row>
    <row r="22" spans="1:29" ht="18.600000000000001" customHeight="1" thickBot="1">
      <c r="E22" s="164"/>
      <c r="F22" s="159" t="s">
        <v>111</v>
      </c>
      <c r="G22" s="159"/>
      <c r="H22" s="329" t="s">
        <v>99</v>
      </c>
      <c r="I22" s="196">
        <f>'2-1 算定シート（電動式）'!L26</f>
        <v>0</v>
      </c>
      <c r="J22" s="51"/>
      <c r="U22" s="919" t="s">
        <v>388</v>
      </c>
      <c r="V22" s="925"/>
      <c r="W22" s="926"/>
      <c r="X22" s="920" t="s">
        <v>592</v>
      </c>
      <c r="Y22" s="936"/>
      <c r="Z22" s="942"/>
      <c r="AA22" s="943">
        <f>AA19*E80</f>
        <v>0</v>
      </c>
      <c r="AB22" s="943">
        <f>AB19*E80</f>
        <v>0</v>
      </c>
      <c r="AC22" s="943">
        <f>AC19*E80</f>
        <v>0</v>
      </c>
    </row>
    <row r="23" spans="1:29" ht="18.600000000000001" customHeight="1">
      <c r="C23" s="1222" t="s">
        <v>643</v>
      </c>
      <c r="D23" s="1223"/>
      <c r="E23" s="157"/>
      <c r="F23" s="158" t="s">
        <v>827</v>
      </c>
      <c r="G23" s="158"/>
      <c r="H23" s="261" t="s">
        <v>99</v>
      </c>
      <c r="I23" s="180">
        <f>'2-1 算定シート（電動式）'!L27</f>
        <v>0</v>
      </c>
      <c r="J23" s="312" t="s">
        <v>182</v>
      </c>
      <c r="K23" s="51"/>
      <c r="L23"/>
      <c r="U23" s="919" t="s">
        <v>593</v>
      </c>
      <c r="V23" s="919"/>
      <c r="W23" s="919"/>
      <c r="X23" s="920" t="s">
        <v>360</v>
      </c>
      <c r="Y23" s="940">
        <f>Y21+Y22</f>
        <v>0</v>
      </c>
      <c r="Z23" s="941"/>
      <c r="AA23" s="940">
        <f>AA21+AA22</f>
        <v>0</v>
      </c>
      <c r="AB23" s="940">
        <f>AB21+AB22</f>
        <v>0</v>
      </c>
      <c r="AC23" s="940">
        <f>AC21+AC22</f>
        <v>0</v>
      </c>
    </row>
    <row r="24" spans="1:29" ht="18.600000000000001" customHeight="1" thickBot="1">
      <c r="C24" s="1224"/>
      <c r="D24" s="1225"/>
      <c r="E24" s="157"/>
      <c r="F24" s="158" t="s">
        <v>826</v>
      </c>
      <c r="G24" s="158"/>
      <c r="H24" s="330" t="s">
        <v>99</v>
      </c>
      <c r="I24" s="180">
        <f>'2-1 算定シート（電動式）'!L28</f>
        <v>0</v>
      </c>
      <c r="J24" s="312" t="s">
        <v>183</v>
      </c>
      <c r="K24" s="12" t="s">
        <v>831</v>
      </c>
      <c r="U24" s="919" t="s">
        <v>594</v>
      </c>
      <c r="V24" s="919"/>
      <c r="W24" s="919"/>
      <c r="X24" s="920" t="s">
        <v>364</v>
      </c>
      <c r="Y24" s="939">
        <f>Y20*E81/1000</f>
        <v>0</v>
      </c>
      <c r="Z24" s="937"/>
      <c r="AA24" s="939">
        <f>AA20*E81/1000</f>
        <v>0</v>
      </c>
      <c r="AB24" s="939">
        <f>AB20*E81/1000</f>
        <v>0</v>
      </c>
      <c r="AC24" s="939">
        <f>AC20*E81/1000</f>
        <v>0</v>
      </c>
    </row>
    <row r="25" spans="1:29" ht="18.600000000000001" customHeight="1" thickBot="1">
      <c r="C25" s="1226"/>
      <c r="D25" s="1227"/>
      <c r="E25" s="164"/>
      <c r="F25" s="159" t="s">
        <v>836</v>
      </c>
      <c r="G25" s="159"/>
      <c r="H25" s="331" t="s">
        <v>99</v>
      </c>
      <c r="I25" s="194">
        <f>'2-1 算定シート（電動式）'!L29</f>
        <v>0</v>
      </c>
      <c r="J25" s="313" t="s">
        <v>184</v>
      </c>
      <c r="K25" s="181">
        <f>I23+I24+I25</f>
        <v>0</v>
      </c>
      <c r="U25" s="919" t="s">
        <v>595</v>
      </c>
      <c r="V25" s="919"/>
      <c r="W25" s="919"/>
      <c r="X25" s="920" t="s">
        <v>596</v>
      </c>
      <c r="Y25" s="940" t="e">
        <f>Y24/Y3</f>
        <v>#DIV/0!</v>
      </c>
      <c r="Z25" s="944"/>
      <c r="AA25" s="940" t="e">
        <f>AA24/AA3</f>
        <v>#DIV/0!</v>
      </c>
      <c r="AB25" s="940" t="e">
        <f>AB24/AB3</f>
        <v>#DIV/0!</v>
      </c>
      <c r="AC25" s="940" t="e">
        <f>AC24/AC3</f>
        <v>#DIV/0!</v>
      </c>
    </row>
    <row r="26" spans="1:29" ht="18.600000000000001" customHeight="1">
      <c r="C26" s="1222" t="s">
        <v>607</v>
      </c>
      <c r="D26" s="1223"/>
      <c r="E26" s="158"/>
      <c r="F26" s="158" t="s">
        <v>837</v>
      </c>
      <c r="G26" s="158"/>
      <c r="H26" s="332" t="s">
        <v>99</v>
      </c>
      <c r="I26" s="179">
        <f>'2-1 算定シート（電動式）'!L34</f>
        <v>0</v>
      </c>
      <c r="J26" s="312" t="s">
        <v>185</v>
      </c>
      <c r="K26" s="51"/>
      <c r="U26" s="465"/>
      <c r="V26" s="465"/>
      <c r="W26" s="465"/>
      <c r="X26" s="465"/>
      <c r="Y26" s="465"/>
      <c r="Z26" s="465"/>
      <c r="AA26" s="465"/>
      <c r="AB26" s="465"/>
      <c r="AC26" s="465"/>
    </row>
    <row r="27" spans="1:29" ht="18.600000000000001" customHeight="1" thickBot="1">
      <c r="C27" s="1224"/>
      <c r="D27" s="1225"/>
      <c r="E27" s="158"/>
      <c r="F27" s="158" t="s">
        <v>838</v>
      </c>
      <c r="G27" s="158"/>
      <c r="H27" s="330" t="s">
        <v>99</v>
      </c>
      <c r="I27" s="180">
        <f>'2-1 算定シート（電動式）'!L35</f>
        <v>0</v>
      </c>
      <c r="J27" s="312" t="s">
        <v>186</v>
      </c>
      <c r="K27" s="12" t="s">
        <v>832</v>
      </c>
      <c r="L27" s="12"/>
      <c r="U27" s="465"/>
      <c r="V27" s="465"/>
      <c r="W27" s="465"/>
      <c r="X27" s="465"/>
      <c r="Y27" s="465"/>
      <c r="Z27" s="945"/>
      <c r="AA27" s="465"/>
      <c r="AB27" s="465"/>
      <c r="AC27" s="465"/>
    </row>
    <row r="28" spans="1:29" ht="18.600000000000001" customHeight="1" thickBot="1">
      <c r="C28" s="1224"/>
      <c r="D28" s="1225"/>
      <c r="E28" s="158"/>
      <c r="F28" s="158" t="s">
        <v>840</v>
      </c>
      <c r="G28" s="158"/>
      <c r="H28" s="330" t="s">
        <v>99</v>
      </c>
      <c r="I28" s="180">
        <f>'2-1 算定シート（電動式）'!L36</f>
        <v>0</v>
      </c>
      <c r="J28" s="314" t="s">
        <v>187</v>
      </c>
      <c r="K28" s="181">
        <f>IF(I26&gt;0, I26+I27+I28, I28+I29)</f>
        <v>0</v>
      </c>
      <c r="L28" s="181">
        <f>I28+I29</f>
        <v>0</v>
      </c>
      <c r="U28" s="465"/>
      <c r="V28" s="465"/>
      <c r="W28" s="465"/>
      <c r="X28" s="465"/>
      <c r="Y28" s="465"/>
      <c r="Z28" s="465"/>
      <c r="AA28" s="465"/>
      <c r="AB28" s="465"/>
      <c r="AC28" s="465"/>
    </row>
    <row r="29" spans="1:29" ht="18.600000000000001" customHeight="1" thickBot="1">
      <c r="C29" s="1226"/>
      <c r="D29" s="1227"/>
      <c r="E29" s="287"/>
      <c r="F29" s="159" t="s">
        <v>839</v>
      </c>
      <c r="G29" s="159"/>
      <c r="H29" s="331" t="s">
        <v>99</v>
      </c>
      <c r="I29" s="194">
        <f>'2-1 算定シート（電動式）'!L37</f>
        <v>0</v>
      </c>
      <c r="J29" s="315" t="s">
        <v>610</v>
      </c>
      <c r="K29" s="1" t="s">
        <v>614</v>
      </c>
      <c r="L29" s="1" t="s">
        <v>615</v>
      </c>
      <c r="U29" s="465"/>
      <c r="V29" s="465"/>
      <c r="W29" s="465"/>
      <c r="X29" s="465"/>
      <c r="Y29" s="465"/>
      <c r="Z29" s="465"/>
      <c r="AA29" s="465"/>
      <c r="AB29" s="465"/>
      <c r="AC29" s="465"/>
    </row>
    <row r="30" spans="1:29" ht="18.600000000000001" customHeight="1" thickBot="1">
      <c r="C30" s="285"/>
      <c r="D30" s="286"/>
      <c r="E30" s="82"/>
      <c r="F30" s="82"/>
      <c r="G30" s="82"/>
      <c r="H30" s="77"/>
      <c r="I30"/>
      <c r="J30" s="1"/>
      <c r="K30"/>
      <c r="U30" s="465"/>
      <c r="V30" s="465"/>
      <c r="W30" s="465"/>
      <c r="X30" s="465"/>
      <c r="Y30" s="465"/>
      <c r="Z30" s="946"/>
      <c r="AA30" s="946"/>
      <c r="AB30" s="946"/>
      <c r="AC30" s="946"/>
    </row>
    <row r="31" spans="1:29" ht="18.600000000000001" customHeight="1" thickBot="1">
      <c r="A31" s="83" t="s">
        <v>181</v>
      </c>
      <c r="B31" s="1217">
        <f>'2-1 算定シート（電動式）'!L41</f>
        <v>0</v>
      </c>
      <c r="C31" s="1219"/>
      <c r="E31" s="82"/>
      <c r="F31" s="82"/>
      <c r="G31" s="82"/>
      <c r="H31" s="77"/>
      <c r="J31" s="51" t="s">
        <v>173</v>
      </c>
      <c r="K31" s="51"/>
      <c r="L31"/>
      <c r="U31" s="946"/>
      <c r="V31" s="946"/>
      <c r="W31" s="946"/>
      <c r="X31" s="946"/>
      <c r="Y31" s="946"/>
      <c r="Z31" s="946"/>
      <c r="AA31" s="946"/>
      <c r="AB31" s="946"/>
      <c r="AC31" s="946"/>
    </row>
    <row r="32" spans="1:29" ht="18.600000000000001" customHeight="1" thickBot="1">
      <c r="A32" s="83" t="s">
        <v>172</v>
      </c>
      <c r="B32" s="83"/>
      <c r="E32" s="79" t="s">
        <v>79</v>
      </c>
      <c r="F32" s="659" t="s">
        <v>110</v>
      </c>
      <c r="G32" s="149"/>
      <c r="H32" s="325" t="s">
        <v>174</v>
      </c>
      <c r="I32" s="178">
        <f>'2-1 算定シート（電動式）'!L44</f>
        <v>0</v>
      </c>
      <c r="J32" s="1"/>
      <c r="L32"/>
      <c r="U32" s="947" t="s">
        <v>612</v>
      </c>
      <c r="V32" s="948"/>
      <c r="W32" s="948"/>
      <c r="X32" s="949"/>
      <c r="Y32" s="917" t="s">
        <v>300</v>
      </c>
      <c r="Z32" s="918" t="s">
        <v>300</v>
      </c>
      <c r="AA32" s="917" t="s">
        <v>465</v>
      </c>
      <c r="AB32" s="918" t="s">
        <v>302</v>
      </c>
      <c r="AC32" s="918" t="s">
        <v>304</v>
      </c>
    </row>
    <row r="33" spans="1:29" ht="18.600000000000001" customHeight="1" thickBot="1">
      <c r="E33" s="81" t="s">
        <v>78</v>
      </c>
      <c r="F33" s="82" t="s">
        <v>87</v>
      </c>
      <c r="G33" s="82"/>
      <c r="H33" s="261" t="s">
        <v>99</v>
      </c>
      <c r="I33" s="165">
        <f>'2-1 算定シート（電動式）'!L45</f>
        <v>0</v>
      </c>
      <c r="J33" s="1"/>
      <c r="K33"/>
      <c r="L33" s="168" t="str">
        <f>IF(I33&lt;&gt;0,I33,IF(I37&lt;&gt;0,I37,IF(I39&lt;&gt;0,I39,"0")))</f>
        <v>0</v>
      </c>
      <c r="M33" s="150" t="s">
        <v>87</v>
      </c>
      <c r="U33" s="950" t="s">
        <v>613</v>
      </c>
      <c r="V33" s="951"/>
      <c r="W33" s="952"/>
      <c r="X33" s="953"/>
      <c r="Y33" s="954" t="s">
        <v>179</v>
      </c>
      <c r="Z33" s="954" t="s">
        <v>370</v>
      </c>
      <c r="AA33" s="954" t="s">
        <v>371</v>
      </c>
      <c r="AB33" s="954" t="s">
        <v>372</v>
      </c>
      <c r="AC33" s="954" t="s">
        <v>179</v>
      </c>
    </row>
    <row r="34" spans="1:29" ht="18.600000000000001" customHeight="1" thickBot="1">
      <c r="C34" s="12" t="s">
        <v>123</v>
      </c>
      <c r="E34" s="157"/>
      <c r="F34" s="158" t="s">
        <v>88</v>
      </c>
      <c r="G34" s="158"/>
      <c r="H34" s="328" t="s">
        <v>99</v>
      </c>
      <c r="I34" s="176">
        <f>'2-1 算定シート（電動式）'!L46</f>
        <v>0</v>
      </c>
      <c r="J34" s="1"/>
      <c r="K34"/>
      <c r="L34" s="389">
        <f>IF(I34=0,I40,I34)</f>
        <v>0</v>
      </c>
      <c r="M34" s="150" t="s">
        <v>88</v>
      </c>
      <c r="U34" s="919" t="s">
        <v>346</v>
      </c>
      <c r="V34" s="919"/>
      <c r="W34" s="919" t="s">
        <v>308</v>
      </c>
      <c r="X34" s="920" t="s">
        <v>272</v>
      </c>
      <c r="Y34" s="955" t="str">
        <f>L33</f>
        <v>0</v>
      </c>
      <c r="Z34" s="955" t="str">
        <f>Y34</f>
        <v>0</v>
      </c>
      <c r="AA34" s="955" t="str">
        <f>L33</f>
        <v>0</v>
      </c>
      <c r="AB34" s="955" t="str">
        <f>L33</f>
        <v>0</v>
      </c>
      <c r="AC34" s="955" t="str">
        <f>L33</f>
        <v>0</v>
      </c>
    </row>
    <row r="35" spans="1:29" ht="18.600000000000001" customHeight="1" thickBot="1">
      <c r="E35" s="157"/>
      <c r="F35" s="158" t="s">
        <v>89</v>
      </c>
      <c r="G35" s="158"/>
      <c r="H35" s="328" t="s">
        <v>99</v>
      </c>
      <c r="I35" s="176">
        <f>'2-1 算定シート（電動式）'!L47</f>
        <v>0</v>
      </c>
      <c r="J35" s="1"/>
      <c r="K35"/>
      <c r="L35" s="168" t="str">
        <f>IF(I35&lt;&gt;0,I35,IF(I38&lt;&gt;0,I38,IF(I41&lt;&gt;0,I41,"0")))</f>
        <v>0</v>
      </c>
      <c r="M35" s="150" t="s">
        <v>622</v>
      </c>
      <c r="U35" s="919" t="s">
        <v>273</v>
      </c>
      <c r="V35" s="919"/>
      <c r="W35" s="919" t="s">
        <v>309</v>
      </c>
      <c r="X35" s="920" t="s">
        <v>272</v>
      </c>
      <c r="Y35" s="955">
        <f>L34</f>
        <v>0</v>
      </c>
      <c r="Z35" s="922" t="s">
        <v>539</v>
      </c>
      <c r="AA35" s="955">
        <f t="shared" ref="AA35:AA37" si="3">L34</f>
        <v>0</v>
      </c>
      <c r="AB35" s="955">
        <f t="shared" ref="AB35:AB37" si="4">L34</f>
        <v>0</v>
      </c>
      <c r="AC35" s="955">
        <f t="shared" ref="AC35:AC37" si="5">L34</f>
        <v>0</v>
      </c>
    </row>
    <row r="36" spans="1:29" ht="18.600000000000001" customHeight="1" thickBot="1">
      <c r="E36" s="79"/>
      <c r="F36" s="80" t="s">
        <v>90</v>
      </c>
      <c r="G36" s="80"/>
      <c r="H36" s="325" t="s">
        <v>99</v>
      </c>
      <c r="I36" s="167">
        <f>'2-1 算定シート（電動式）'!L48</f>
        <v>0</v>
      </c>
      <c r="J36" s="1"/>
      <c r="K36"/>
      <c r="L36" s="167">
        <f>IF(I36=0,I42,I36)</f>
        <v>0</v>
      </c>
      <c r="M36" s="150" t="s">
        <v>623</v>
      </c>
      <c r="U36" s="919" t="s">
        <v>322</v>
      </c>
      <c r="V36" s="919"/>
      <c r="W36" s="919" t="s">
        <v>310</v>
      </c>
      <c r="X36" s="920" t="s">
        <v>272</v>
      </c>
      <c r="Y36" s="955" t="str">
        <f>L35</f>
        <v>0</v>
      </c>
      <c r="Z36" s="956" t="s">
        <v>378</v>
      </c>
      <c r="AA36" s="955" t="str">
        <f t="shared" si="3"/>
        <v>0</v>
      </c>
      <c r="AB36" s="955" t="str">
        <f t="shared" si="4"/>
        <v>0</v>
      </c>
      <c r="AC36" s="955" t="str">
        <f t="shared" si="5"/>
        <v>0</v>
      </c>
    </row>
    <row r="37" spans="1:29" ht="18.600000000000001" customHeight="1">
      <c r="A37" s="150" t="s">
        <v>643</v>
      </c>
      <c r="E37" s="333" t="s">
        <v>82</v>
      </c>
      <c r="F37" s="334" t="s">
        <v>87</v>
      </c>
      <c r="G37" s="334"/>
      <c r="H37" s="326" t="s">
        <v>99</v>
      </c>
      <c r="I37" s="195">
        <f>'2-1 算定シート（電動式）'!L49</f>
        <v>0</v>
      </c>
      <c r="J37" s="1"/>
      <c r="K37"/>
      <c r="L37"/>
      <c r="U37" s="919" t="s">
        <v>323</v>
      </c>
      <c r="V37" s="919"/>
      <c r="W37" s="919" t="s">
        <v>311</v>
      </c>
      <c r="X37" s="920" t="s">
        <v>272</v>
      </c>
      <c r="Y37" s="955">
        <f>L36</f>
        <v>0</v>
      </c>
      <c r="Z37" s="922" t="s">
        <v>602</v>
      </c>
      <c r="AA37" s="955">
        <f t="shared" si="3"/>
        <v>0</v>
      </c>
      <c r="AB37" s="955">
        <f t="shared" si="4"/>
        <v>0</v>
      </c>
      <c r="AC37" s="955">
        <f t="shared" si="5"/>
        <v>0</v>
      </c>
    </row>
    <row r="38" spans="1:29" ht="18.600000000000001" customHeight="1" thickBot="1">
      <c r="E38" s="78"/>
      <c r="F38" s="80" t="s">
        <v>111</v>
      </c>
      <c r="G38" s="80"/>
      <c r="H38" s="329" t="s">
        <v>99</v>
      </c>
      <c r="I38" s="196">
        <f>'2-1 算定シート（電動式）'!L50</f>
        <v>0</v>
      </c>
      <c r="J38" s="1"/>
      <c r="K38"/>
      <c r="L38"/>
      <c r="U38" s="919" t="s">
        <v>349</v>
      </c>
      <c r="V38" s="925"/>
      <c r="W38" s="926"/>
      <c r="X38" s="927" t="s">
        <v>350</v>
      </c>
      <c r="Y38" s="928" t="e">
        <f>Y34/Y36</f>
        <v>#DIV/0!</v>
      </c>
      <c r="Z38" s="929"/>
      <c r="AA38" s="928" t="e">
        <f>AA34/AA36</f>
        <v>#DIV/0!</v>
      </c>
      <c r="AB38" s="928" t="e">
        <f>AB34/AB36*G82</f>
        <v>#DIV/0!</v>
      </c>
      <c r="AC38" s="928" t="e">
        <f>AC34/AC36</f>
        <v>#DIV/0!</v>
      </c>
    </row>
    <row r="39" spans="1:29" ht="18.600000000000001" customHeight="1">
      <c r="A39" s="150" t="s">
        <v>608</v>
      </c>
      <c r="E39" s="81" t="s">
        <v>83</v>
      </c>
      <c r="F39" s="82" t="s">
        <v>87</v>
      </c>
      <c r="G39" s="82"/>
      <c r="H39" s="261" t="s">
        <v>99</v>
      </c>
      <c r="I39" s="166">
        <f>'2-1 算定シート（電動式）'!L54</f>
        <v>0</v>
      </c>
      <c r="J39" s="1"/>
      <c r="N39"/>
      <c r="U39" s="919" t="s">
        <v>584</v>
      </c>
      <c r="V39" s="925"/>
      <c r="W39" s="926"/>
      <c r="X39" s="927" t="s">
        <v>350</v>
      </c>
      <c r="Y39" s="928" t="e">
        <f>Y35/Y37</f>
        <v>#DIV/0!</v>
      </c>
      <c r="Z39" s="929"/>
      <c r="AA39" s="929"/>
      <c r="AB39" s="928" t="e">
        <f>AB35/AB37</f>
        <v>#DIV/0!</v>
      </c>
      <c r="AC39" s="928" t="e">
        <f>AC35/AC37</f>
        <v>#DIV/0!</v>
      </c>
    </row>
    <row r="40" spans="1:29" ht="18.600000000000001" customHeight="1">
      <c r="E40" s="158"/>
      <c r="F40" s="158" t="s">
        <v>88</v>
      </c>
      <c r="G40" s="158"/>
      <c r="H40" s="328" t="s">
        <v>99</v>
      </c>
      <c r="I40" s="176">
        <f>'2-1 算定シート（電動式）'!L55</f>
        <v>0</v>
      </c>
      <c r="J40" s="1"/>
      <c r="U40" s="919" t="s">
        <v>288</v>
      </c>
      <c r="V40" s="919"/>
      <c r="W40" s="919"/>
      <c r="X40" s="920" t="s">
        <v>272</v>
      </c>
      <c r="Y40" s="919"/>
      <c r="Z40" s="919"/>
      <c r="AA40" s="919"/>
      <c r="AB40" s="935">
        <f>I46</f>
        <v>0</v>
      </c>
      <c r="AC40" s="919"/>
    </row>
    <row r="41" spans="1:29" ht="18.600000000000001" customHeight="1">
      <c r="E41" s="160"/>
      <c r="F41" s="158" t="s">
        <v>91</v>
      </c>
      <c r="G41" s="158"/>
      <c r="H41" s="328" t="s">
        <v>99</v>
      </c>
      <c r="I41" s="176">
        <f>'2-1 算定シート（電動式）'!L56</f>
        <v>0</v>
      </c>
      <c r="J41" s="1"/>
      <c r="U41" s="919" t="s">
        <v>290</v>
      </c>
      <c r="V41" s="919"/>
      <c r="W41" s="919"/>
      <c r="X41" s="920" t="s">
        <v>272</v>
      </c>
      <c r="Y41" s="919"/>
      <c r="Z41" s="919"/>
      <c r="AA41" s="919"/>
      <c r="AB41" s="935">
        <f t="shared" ref="AB41:AB43" si="6">I47</f>
        <v>0</v>
      </c>
      <c r="AC41" s="919"/>
    </row>
    <row r="42" spans="1:29" ht="18.600000000000001" customHeight="1" thickBot="1">
      <c r="B42"/>
      <c r="E42" s="78"/>
      <c r="F42" s="80" t="s">
        <v>92</v>
      </c>
      <c r="G42" s="80"/>
      <c r="H42" s="329" t="s">
        <v>99</v>
      </c>
      <c r="I42" s="172">
        <f>'2-1 算定シート（電動式）'!L57</f>
        <v>0</v>
      </c>
      <c r="J42" s="1"/>
      <c r="U42" s="919" t="s">
        <v>292</v>
      </c>
      <c r="V42" s="919"/>
      <c r="W42" s="919"/>
      <c r="X42" s="920" t="s">
        <v>272</v>
      </c>
      <c r="Y42" s="919"/>
      <c r="Z42" s="919"/>
      <c r="AA42" s="957">
        <f>I48</f>
        <v>0</v>
      </c>
      <c r="AB42" s="935">
        <f t="shared" si="6"/>
        <v>0</v>
      </c>
      <c r="AC42" s="919"/>
    </row>
    <row r="43" spans="1:29" ht="18.600000000000001" customHeight="1" thickBot="1">
      <c r="E43" s="77"/>
      <c r="F43" s="84" t="s">
        <v>827</v>
      </c>
      <c r="G43" s="82"/>
      <c r="H43" s="261" t="s">
        <v>99</v>
      </c>
      <c r="I43" s="198">
        <f>'2-1 算定シート（電動式）'!L51</f>
        <v>0</v>
      </c>
      <c r="J43" s="312" t="s">
        <v>190</v>
      </c>
      <c r="U43" s="919" t="s">
        <v>385</v>
      </c>
      <c r="V43" s="919"/>
      <c r="W43" s="919"/>
      <c r="X43" s="920" t="s">
        <v>272</v>
      </c>
      <c r="Y43" s="919"/>
      <c r="Z43" s="919"/>
      <c r="AA43" s="919"/>
      <c r="AB43" s="935">
        <f t="shared" si="6"/>
        <v>0</v>
      </c>
      <c r="AC43" s="919"/>
    </row>
    <row r="44" spans="1:29" ht="18.600000000000001" customHeight="1" thickBot="1">
      <c r="A44" s="150" t="s">
        <v>643</v>
      </c>
      <c r="E44" s="335" t="s">
        <v>188</v>
      </c>
      <c r="F44" s="153" t="s">
        <v>826</v>
      </c>
      <c r="G44" s="158"/>
      <c r="H44" s="328" t="s">
        <v>99</v>
      </c>
      <c r="I44" s="197">
        <f>'2-1 算定シート（電動式）'!L52</f>
        <v>0</v>
      </c>
      <c r="J44" s="312" t="s">
        <v>191</v>
      </c>
      <c r="K44" s="12" t="s">
        <v>830</v>
      </c>
      <c r="M44" s="310">
        <f>IF(I43=0,I46,I43)</f>
        <v>0</v>
      </c>
      <c r="U44" s="925" t="s">
        <v>314</v>
      </c>
      <c r="V44" s="931"/>
      <c r="W44" s="926"/>
      <c r="X44" s="927" t="s">
        <v>350</v>
      </c>
      <c r="Y44" s="919"/>
      <c r="Z44" s="958">
        <f>I32</f>
        <v>0</v>
      </c>
      <c r="AA44" s="919"/>
      <c r="AB44" s="919"/>
      <c r="AC44" s="919"/>
    </row>
    <row r="45" spans="1:29" ht="18.600000000000001" customHeight="1" thickBot="1">
      <c r="E45" s="79"/>
      <c r="F45" s="148" t="s">
        <v>836</v>
      </c>
      <c r="G45" s="80"/>
      <c r="H45" s="329" t="s">
        <v>99</v>
      </c>
      <c r="I45" s="288">
        <f>'2-1 算定シート（電動式）'!L53</f>
        <v>0</v>
      </c>
      <c r="J45" s="312" t="s">
        <v>192</v>
      </c>
      <c r="K45" s="654">
        <f>I43+I44+I45</f>
        <v>0</v>
      </c>
      <c r="M45" s="310">
        <f>IF(I44=0,I47,I44)</f>
        <v>0</v>
      </c>
      <c r="U45" s="919" t="s">
        <v>585</v>
      </c>
      <c r="V45" s="919"/>
      <c r="W45" s="919"/>
      <c r="X45" s="920" t="s">
        <v>700</v>
      </c>
      <c r="Y45" s="939" t="e">
        <f>Y14*(Y7/Y38)</f>
        <v>#DIV/0!</v>
      </c>
      <c r="Z45" s="937"/>
      <c r="AA45" s="939" t="e">
        <f>AC14*(AC7/AA38)</f>
        <v>#DIV/0!</v>
      </c>
      <c r="AB45" s="939" t="e">
        <f>AA14*(AA7/AB38)</f>
        <v>#DIV/0!</v>
      </c>
      <c r="AC45" s="939" t="e">
        <f>AB14*AB7/AC38</f>
        <v>#DIV/0!</v>
      </c>
    </row>
    <row r="46" spans="1:29" ht="18.600000000000001" customHeight="1" thickBot="1">
      <c r="E46" s="82"/>
      <c r="F46" s="84" t="s">
        <v>837</v>
      </c>
      <c r="G46" s="82"/>
      <c r="H46" s="261" t="s">
        <v>99</v>
      </c>
      <c r="I46" s="289">
        <f>'2-1 算定シート（電動式）'!L58</f>
        <v>0</v>
      </c>
      <c r="J46" s="312" t="s">
        <v>193</v>
      </c>
      <c r="M46" s="173">
        <f>IF(I45=0,I48,I45)</f>
        <v>0</v>
      </c>
      <c r="O46"/>
      <c r="P46"/>
      <c r="U46" s="919" t="s">
        <v>587</v>
      </c>
      <c r="V46" s="919"/>
      <c r="W46" s="919"/>
      <c r="X46" s="920" t="s">
        <v>700</v>
      </c>
      <c r="Y46" s="939" t="e">
        <f>Y15*(Y8/Y39)</f>
        <v>#DIV/0!</v>
      </c>
      <c r="Z46" s="937"/>
      <c r="AA46" s="937"/>
      <c r="AB46" s="939" t="e">
        <f>AA15*(AA8/AB39)</f>
        <v>#DIV/0!</v>
      </c>
      <c r="AC46" s="939" t="e">
        <f>AB15*(AB8/AC39)</f>
        <v>#DIV/0!</v>
      </c>
    </row>
    <row r="47" spans="1:29" ht="18.600000000000001" customHeight="1" thickBot="1">
      <c r="A47" s="150" t="s">
        <v>608</v>
      </c>
      <c r="E47" s="335" t="s">
        <v>189</v>
      </c>
      <c r="F47" s="153" t="s">
        <v>838</v>
      </c>
      <c r="G47" s="158"/>
      <c r="H47" s="328" t="s">
        <v>99</v>
      </c>
      <c r="I47" s="197">
        <f>'2-1 算定シート（電動式）'!L59</f>
        <v>0</v>
      </c>
      <c r="J47" s="312" t="s">
        <v>194</v>
      </c>
      <c r="K47" s="12" t="s">
        <v>833</v>
      </c>
      <c r="L47" s="12" t="s">
        <v>829</v>
      </c>
      <c r="M47" s="12"/>
      <c r="O47"/>
      <c r="P47"/>
      <c r="U47" s="919" t="s">
        <v>604</v>
      </c>
      <c r="V47" s="919"/>
      <c r="W47" s="919"/>
      <c r="X47" s="920" t="s">
        <v>251</v>
      </c>
      <c r="Y47" s="939" t="e">
        <f>Y45+Y46</f>
        <v>#DIV/0!</v>
      </c>
      <c r="Z47" s="939" t="e">
        <f>Z16*Z13/Z44</f>
        <v>#DIV/0!</v>
      </c>
      <c r="AA47" s="939" t="e">
        <f>AA45+AA46</f>
        <v>#DIV/0!</v>
      </c>
      <c r="AB47" s="939" t="e">
        <f>AB45+AB46</f>
        <v>#DIV/0!</v>
      </c>
      <c r="AC47" s="939" t="e">
        <f>AC45+AC46</f>
        <v>#DIV/0!</v>
      </c>
    </row>
    <row r="48" spans="1:29" ht="18.600000000000001" customHeight="1" thickBot="1">
      <c r="E48" s="158"/>
      <c r="F48" s="153" t="s">
        <v>840</v>
      </c>
      <c r="G48" s="158"/>
      <c r="H48" s="328" t="s">
        <v>99</v>
      </c>
      <c r="I48" s="197">
        <f>'2-1 算定シート（電動式）'!L60</f>
        <v>0</v>
      </c>
      <c r="J48" s="312" t="s">
        <v>195</v>
      </c>
      <c r="K48" s="654">
        <f>IF(I46&gt;0, I46+I47+I48, I48+I49)</f>
        <v>0</v>
      </c>
      <c r="L48" s="654">
        <f>I48+I49</f>
        <v>0</v>
      </c>
      <c r="U48" s="919" t="s">
        <v>357</v>
      </c>
      <c r="V48" s="919"/>
      <c r="W48" s="919"/>
      <c r="X48" s="920" t="s">
        <v>700</v>
      </c>
      <c r="Y48" s="937"/>
      <c r="Z48" s="937"/>
      <c r="AA48" s="938" t="e">
        <f>AC17*(AA42/K25)</f>
        <v>#DIV/0!</v>
      </c>
      <c r="AB48" s="938" t="e">
        <f>AA17*K48/K28</f>
        <v>#DIV/0!</v>
      </c>
      <c r="AC48" s="919"/>
    </row>
    <row r="49" spans="1:30" ht="19.5" thickBot="1">
      <c r="E49" s="290"/>
      <c r="F49" s="148" t="s">
        <v>839</v>
      </c>
      <c r="G49" s="149"/>
      <c r="H49" s="329" t="s">
        <v>99</v>
      </c>
      <c r="I49" s="288">
        <f>'2-1 算定シート（電動式）'!L61</f>
        <v>0</v>
      </c>
      <c r="J49" s="312" t="s">
        <v>625</v>
      </c>
      <c r="K49" s="1" t="s">
        <v>614</v>
      </c>
      <c r="L49" s="1" t="s">
        <v>615</v>
      </c>
      <c r="U49" s="919" t="s">
        <v>358</v>
      </c>
      <c r="V49" s="919"/>
      <c r="W49" s="919"/>
      <c r="X49" s="920" t="s">
        <v>700</v>
      </c>
      <c r="Y49" s="937"/>
      <c r="Z49" s="937"/>
      <c r="AA49" s="959"/>
      <c r="AB49" s="938" t="e">
        <f>AA18*(AB42+AB43)/K28</f>
        <v>#DIV/0!</v>
      </c>
      <c r="AC49" s="919"/>
    </row>
    <row r="50" spans="1:30">
      <c r="U50" s="919" t="s">
        <v>605</v>
      </c>
      <c r="V50" s="919"/>
      <c r="W50" s="919"/>
      <c r="X50" s="920" t="s">
        <v>251</v>
      </c>
      <c r="Y50" s="959"/>
      <c r="Z50" s="937"/>
      <c r="AA50" s="938" t="e">
        <f>AA48+AA49</f>
        <v>#DIV/0!</v>
      </c>
      <c r="AB50" s="938" t="e">
        <f>AB48+AB49</f>
        <v>#DIV/0!</v>
      </c>
      <c r="AC50" s="959"/>
    </row>
    <row r="51" spans="1:30" ht="22.15" customHeight="1">
      <c r="J51"/>
      <c r="K51"/>
      <c r="L51"/>
      <c r="U51" s="919" t="s">
        <v>590</v>
      </c>
      <c r="V51" s="919"/>
      <c r="W51" s="919"/>
      <c r="X51" s="920" t="s">
        <v>251</v>
      </c>
      <c r="Y51" s="939" t="e">
        <f>Y47+Y50</f>
        <v>#DIV/0!</v>
      </c>
      <c r="Z51" s="938" t="e">
        <f>Z47+Z50</f>
        <v>#DIV/0!</v>
      </c>
      <c r="AA51" s="939" t="e">
        <f>AA47+AA50</f>
        <v>#DIV/0!</v>
      </c>
      <c r="AB51" s="939" t="e">
        <f>AB47+AB50</f>
        <v>#DIV/0!</v>
      </c>
      <c r="AC51" s="939" t="e">
        <f>AC47+AC50</f>
        <v>#DIV/0!</v>
      </c>
    </row>
    <row r="52" spans="1:30" ht="22.15" customHeight="1">
      <c r="E52" s="292" t="s">
        <v>117</v>
      </c>
      <c r="F52" s="2"/>
      <c r="H52" s="292" t="s">
        <v>118</v>
      </c>
      <c r="I52"/>
      <c r="U52" s="919" t="s">
        <v>387</v>
      </c>
      <c r="V52" s="925"/>
      <c r="W52" s="926"/>
      <c r="X52" s="960" t="s">
        <v>360</v>
      </c>
      <c r="Y52" s="961" t="e">
        <f>Y51*E80</f>
        <v>#DIV/0!</v>
      </c>
      <c r="Z52" s="961" t="e">
        <f>Z51*E80</f>
        <v>#DIV/0!</v>
      </c>
      <c r="AA52" s="961" t="e">
        <f>AA47*E80</f>
        <v>#DIV/0!</v>
      </c>
      <c r="AB52" s="961" t="e">
        <f>AB47*E80</f>
        <v>#DIV/0!</v>
      </c>
      <c r="AC52" s="961" t="e">
        <f>AC51*E80</f>
        <v>#DIV/0!</v>
      </c>
    </row>
    <row r="53" spans="1:30" ht="22.15" customHeight="1">
      <c r="A53" s="294" t="s">
        <v>346</v>
      </c>
      <c r="B53" s="88"/>
      <c r="D53" s="750" t="s">
        <v>885</v>
      </c>
      <c r="E53" s="394" t="str">
        <f>L13</f>
        <v>0</v>
      </c>
      <c r="F53" s="551" t="s">
        <v>272</v>
      </c>
      <c r="H53" s="394" t="str">
        <f>L33</f>
        <v>0</v>
      </c>
      <c r="U53" s="919" t="s">
        <v>388</v>
      </c>
      <c r="V53" s="925"/>
      <c r="W53" s="926"/>
      <c r="X53" s="960" t="s">
        <v>360</v>
      </c>
      <c r="Y53" s="959"/>
      <c r="Z53" s="937"/>
      <c r="AA53" s="961" t="e">
        <f>AA50*E80</f>
        <v>#DIV/0!</v>
      </c>
      <c r="AB53" s="962" t="e">
        <f>AB50*E80</f>
        <v>#DIV/0!</v>
      </c>
      <c r="AC53" s="919"/>
    </row>
    <row r="54" spans="1:30" ht="22.15" customHeight="1">
      <c r="A54" s="294" t="s">
        <v>273</v>
      </c>
      <c r="B54" s="88"/>
      <c r="D54" s="750" t="s">
        <v>886</v>
      </c>
      <c r="E54" s="394">
        <f>L14</f>
        <v>0</v>
      </c>
      <c r="F54" s="551" t="s">
        <v>272</v>
      </c>
      <c r="H54" s="394">
        <f>L34</f>
        <v>0</v>
      </c>
      <c r="U54" s="919" t="s">
        <v>593</v>
      </c>
      <c r="V54" s="919"/>
      <c r="W54" s="919"/>
      <c r="X54" s="960" t="s">
        <v>360</v>
      </c>
      <c r="Y54" s="961" t="e">
        <f>Y52+Y53</f>
        <v>#DIV/0!</v>
      </c>
      <c r="Z54" s="938" t="e">
        <f>Z52+Z53</f>
        <v>#DIV/0!</v>
      </c>
      <c r="AA54" s="938" t="e">
        <f>AA52+AA53</f>
        <v>#DIV/0!</v>
      </c>
      <c r="AB54" s="962" t="e">
        <f>AB52+AB53</f>
        <v>#DIV/0!</v>
      </c>
      <c r="AC54" s="961" t="e">
        <f>AC52+AC53</f>
        <v>#DIV/0!</v>
      </c>
    </row>
    <row r="55" spans="1:30" ht="22.15" customHeight="1">
      <c r="A55" s="199" t="s">
        <v>322</v>
      </c>
      <c r="B55" s="88"/>
      <c r="D55" s="750" t="s">
        <v>424</v>
      </c>
      <c r="E55" s="395" t="str">
        <f>L15</f>
        <v>0</v>
      </c>
      <c r="F55" s="551" t="s">
        <v>272</v>
      </c>
      <c r="H55" s="395" t="str">
        <f t="shared" ref="H55:H56" si="7">L35</f>
        <v>0</v>
      </c>
      <c r="U55" s="919" t="s">
        <v>594</v>
      </c>
      <c r="V55" s="963"/>
      <c r="W55" s="942"/>
      <c r="X55" s="960" t="s">
        <v>364</v>
      </c>
      <c r="Y55" s="939" t="e">
        <f>Y51*E81</f>
        <v>#DIV/0!</v>
      </c>
      <c r="Z55" s="939" t="e">
        <f>Z51*E81</f>
        <v>#DIV/0!</v>
      </c>
      <c r="AA55" s="939" t="e">
        <f>AA51*E81</f>
        <v>#DIV/0!</v>
      </c>
      <c r="AB55" s="939" t="e">
        <f>AB51*E81</f>
        <v>#DIV/0!</v>
      </c>
      <c r="AC55" s="939" t="e">
        <f>AC51*E81</f>
        <v>#DIV/0!</v>
      </c>
    </row>
    <row r="56" spans="1:30" ht="22.15" customHeight="1">
      <c r="A56" s="199" t="s">
        <v>323</v>
      </c>
      <c r="B56" s="88"/>
      <c r="D56" s="750" t="s">
        <v>425</v>
      </c>
      <c r="E56" s="395">
        <f>L16</f>
        <v>0</v>
      </c>
      <c r="F56" s="551" t="s">
        <v>272</v>
      </c>
      <c r="H56" s="395">
        <f t="shared" si="7"/>
        <v>0</v>
      </c>
      <c r="U56" s="919" t="s">
        <v>595</v>
      </c>
      <c r="V56" s="919"/>
      <c r="W56" s="919"/>
      <c r="X56" s="960" t="s">
        <v>596</v>
      </c>
      <c r="Y56" s="940" t="e">
        <f>Y55/Y3</f>
        <v>#DIV/0!</v>
      </c>
      <c r="Z56" s="944"/>
      <c r="AA56" s="940" t="e">
        <f>AA55/AC3</f>
        <v>#DIV/0!</v>
      </c>
      <c r="AB56" s="940" t="e">
        <f>AB55/AA3</f>
        <v>#DIV/0!</v>
      </c>
      <c r="AC56" s="940" t="e">
        <f>AC55/AB3</f>
        <v>#DIV/0!</v>
      </c>
    </row>
    <row r="57" spans="1:30" ht="22.15" customHeight="1">
      <c r="A57" s="294" t="s">
        <v>349</v>
      </c>
      <c r="B57" s="88"/>
      <c r="D57" s="253" t="s">
        <v>426</v>
      </c>
      <c r="E57" s="305">
        <f>IFERROR(VLOOKUP(B1,J82:L85,2,FALSE),0)</f>
        <v>0</v>
      </c>
      <c r="F57" s="751" t="s">
        <v>853</v>
      </c>
      <c r="H57" s="305">
        <f>IFERROR(VLOOKUP(B31,J82:N85,4,FALSE),0)</f>
        <v>0</v>
      </c>
      <c r="I57"/>
    </row>
    <row r="58" spans="1:30" ht="22.15" customHeight="1">
      <c r="A58" s="294" t="s">
        <v>584</v>
      </c>
      <c r="B58" s="88"/>
      <c r="D58" s="253" t="s">
        <v>427</v>
      </c>
      <c r="E58" s="306">
        <f>IFERROR(VLOOKUP(B1,J82:L85,3,FALSE),0)</f>
        <v>0</v>
      </c>
      <c r="F58" s="751" t="s">
        <v>853</v>
      </c>
      <c r="H58" s="306">
        <f>IFERROR(VLOOKUP(B31,J82:N85,5,FALSE),0)</f>
        <v>0</v>
      </c>
      <c r="O58" s="316"/>
      <c r="P58" s="316"/>
      <c r="V58"/>
      <c r="W58"/>
      <c r="Y58"/>
      <c r="Z58"/>
      <c r="AA58"/>
      <c r="AB58"/>
      <c r="AC58"/>
      <c r="AD58"/>
    </row>
    <row r="59" spans="1:30" ht="22.15" customHeight="1">
      <c r="A59" s="199" t="s">
        <v>288</v>
      </c>
      <c r="B59" s="88"/>
      <c r="E59" s="182">
        <f>IF(I23=0,I26,I23)</f>
        <v>0</v>
      </c>
      <c r="H59" s="182">
        <f>M44</f>
        <v>0</v>
      </c>
      <c r="V59" s="100"/>
      <c r="Y59"/>
      <c r="Z59"/>
      <c r="AA59"/>
      <c r="AB59"/>
      <c r="AC59"/>
      <c r="AD59"/>
    </row>
    <row r="60" spans="1:30" ht="22.15" customHeight="1">
      <c r="A60" s="199" t="s">
        <v>290</v>
      </c>
      <c r="B60" s="88"/>
      <c r="E60" s="182">
        <f t="shared" ref="E60:E61" si="8">IF(I24=0,I27,I24)</f>
        <v>0</v>
      </c>
      <c r="F60" s="2"/>
      <c r="H60" s="182">
        <f>M45</f>
        <v>0</v>
      </c>
      <c r="M60"/>
      <c r="Y60"/>
      <c r="Z60"/>
      <c r="AA60"/>
      <c r="AB60"/>
      <c r="AC60"/>
      <c r="AD60"/>
    </row>
    <row r="61" spans="1:30" ht="22.15" customHeight="1">
      <c r="A61" s="199" t="s">
        <v>292</v>
      </c>
      <c r="B61" s="88"/>
      <c r="E61" s="182">
        <f t="shared" si="8"/>
        <v>0</v>
      </c>
      <c r="F61" s="2"/>
      <c r="H61" s="182">
        <f>M46</f>
        <v>0</v>
      </c>
      <c r="M61"/>
      <c r="Y61"/>
      <c r="Z61"/>
      <c r="AA61"/>
      <c r="AB61"/>
      <c r="AC61"/>
      <c r="AD61"/>
    </row>
    <row r="62" spans="1:30" ht="22.15" customHeight="1">
      <c r="A62" s="199" t="s">
        <v>385</v>
      </c>
      <c r="B62" s="88"/>
      <c r="D62" s="10"/>
      <c r="E62" s="182">
        <f>I29</f>
        <v>0</v>
      </c>
      <c r="F62" s="2"/>
      <c r="G62" s="10"/>
      <c r="H62" s="182">
        <f>I49</f>
        <v>0</v>
      </c>
      <c r="M62"/>
      <c r="V62"/>
      <c r="W62"/>
      <c r="Y62"/>
      <c r="Z62"/>
      <c r="AA62"/>
      <c r="AB62"/>
      <c r="AC62"/>
      <c r="AD62"/>
    </row>
    <row r="63" spans="1:30" ht="22.15" customHeight="1">
      <c r="A63" s="295" t="s">
        <v>285</v>
      </c>
      <c r="B63" s="210"/>
      <c r="D63" s="10"/>
      <c r="E63" s="299">
        <f>I12</f>
        <v>0</v>
      </c>
      <c r="F63" s="2"/>
      <c r="G63" s="10"/>
      <c r="H63" s="302">
        <f>I32</f>
        <v>0</v>
      </c>
      <c r="M63"/>
      <c r="V63"/>
      <c r="W63"/>
      <c r="Y63"/>
      <c r="Z63"/>
    </row>
    <row r="64" spans="1:30" ht="22.15" customHeight="1" thickBot="1">
      <c r="A64" s="294" t="s">
        <v>585</v>
      </c>
      <c r="B64" s="199"/>
      <c r="C64"/>
      <c r="D64" s="1" t="s">
        <v>890</v>
      </c>
      <c r="E64" s="307" t="str">
        <f>L3</f>
        <v>0</v>
      </c>
      <c r="F64" s="318"/>
      <c r="G64" s="770" t="s">
        <v>79</v>
      </c>
      <c r="H64" s="308">
        <f>IFERROR(VLOOKUP(B31,J82:U85,7,FALSE),0)</f>
        <v>0</v>
      </c>
      <c r="M64"/>
      <c r="Q64"/>
      <c r="R64"/>
      <c r="S64"/>
      <c r="T64"/>
      <c r="U64"/>
      <c r="V64"/>
      <c r="W64"/>
      <c r="X64"/>
      <c r="Y64"/>
      <c r="Z64"/>
    </row>
    <row r="65" spans="1:29" ht="22.15" customHeight="1" thickBot="1">
      <c r="A65" s="294" t="s">
        <v>587</v>
      </c>
      <c r="B65" s="199"/>
      <c r="C65"/>
      <c r="D65" s="1" t="s">
        <v>891</v>
      </c>
      <c r="E65" s="307">
        <f>L4</f>
        <v>0</v>
      </c>
      <c r="F65" s="317"/>
      <c r="G65" s="770" t="s">
        <v>78</v>
      </c>
      <c r="H65" s="309">
        <f>IFERROR(VLOOKUP(B31,J82:U85,9,FALSE),0)</f>
        <v>0</v>
      </c>
      <c r="I65" s="778" t="s">
        <v>627</v>
      </c>
      <c r="J65" s="779"/>
      <c r="K65" s="780"/>
      <c r="L65" s="781" t="s">
        <v>628</v>
      </c>
      <c r="M65" s="782"/>
      <c r="N65" s="780"/>
      <c r="O65" s="780"/>
      <c r="P65" s="780"/>
      <c r="Q65" s="790" t="s">
        <v>284</v>
      </c>
      <c r="R65" s="994"/>
      <c r="S65"/>
      <c r="T65"/>
      <c r="U65"/>
      <c r="V65"/>
      <c r="W65"/>
      <c r="X65"/>
      <c r="Y65"/>
      <c r="Z65"/>
    </row>
    <row r="66" spans="1:29" ht="22.15" customHeight="1" thickBot="1">
      <c r="A66" s="199" t="s">
        <v>588</v>
      </c>
      <c r="B66" s="199"/>
      <c r="C66"/>
      <c r="D66" s="760" t="s">
        <v>892</v>
      </c>
      <c r="E66" s="301">
        <f>IF(F66=0,F67,F66)</f>
        <v>0</v>
      </c>
      <c r="F66" s="35">
        <f>E64+E65</f>
        <v>0</v>
      </c>
      <c r="G66" s="770"/>
      <c r="H66" s="773" t="str">
        <f>IF(H63,L66,I66)</f>
        <v/>
      </c>
      <c r="I66" s="791" t="str">
        <f>IFERROR(VLOOKUP(B31,J81:U85,10,FALSE),"")</f>
        <v/>
      </c>
      <c r="J66" s="776" t="s">
        <v>631</v>
      </c>
      <c r="K66" s="777">
        <f>I2</f>
        <v>0</v>
      </c>
      <c r="L66" s="791">
        <f>IFERROR(E70*E63/H63,0)</f>
        <v>0</v>
      </c>
      <c r="M66" s="797" t="s">
        <v>629</v>
      </c>
      <c r="N66" s="787"/>
      <c r="O66" s="787"/>
      <c r="P66" s="787"/>
      <c r="Q66" s="788"/>
      <c r="R66" s="995"/>
      <c r="S66"/>
      <c r="X66"/>
      <c r="Y66"/>
      <c r="Z66"/>
    </row>
    <row r="67" spans="1:29" ht="22.15" customHeight="1" thickBot="1">
      <c r="A67" s="294" t="s">
        <v>357</v>
      </c>
      <c r="B67" s="199"/>
      <c r="C67"/>
      <c r="E67" s="308">
        <f>L5</f>
        <v>0</v>
      </c>
      <c r="F67" s="789">
        <f>K66</f>
        <v>0</v>
      </c>
      <c r="G67" s="770" t="s">
        <v>221</v>
      </c>
      <c r="H67" s="308">
        <f>IFERROR(VLOOKUP(B31,J81:U85,11,FALSE),0)</f>
        <v>0</v>
      </c>
      <c r="I67" s="783"/>
      <c r="J67" s="784" t="s">
        <v>901</v>
      </c>
      <c r="K67" s="784" t="s">
        <v>902</v>
      </c>
      <c r="L67" s="785"/>
      <c r="M67" s="785"/>
      <c r="N67" s="785"/>
      <c r="O67" s="785"/>
      <c r="P67" s="785"/>
      <c r="Q67" s="786"/>
      <c r="R67" s="996"/>
      <c r="S67"/>
      <c r="T67"/>
      <c r="U67"/>
      <c r="V67"/>
      <c r="W67"/>
      <c r="X67"/>
      <c r="Y67"/>
      <c r="Z67"/>
    </row>
    <row r="68" spans="1:29" ht="22.15" customHeight="1">
      <c r="A68" s="294" t="s">
        <v>358</v>
      </c>
      <c r="B68" s="199"/>
      <c r="E68" s="308">
        <f>L6</f>
        <v>0</v>
      </c>
      <c r="F68" s="317"/>
      <c r="G68" s="770" t="s">
        <v>299</v>
      </c>
      <c r="H68" s="308">
        <f>IFERROR(VLOOKUP(B31,J81:U85,12,FALSE),0)</f>
        <v>0</v>
      </c>
      <c r="J68"/>
      <c r="K68"/>
      <c r="L68"/>
      <c r="Q68"/>
      <c r="R68"/>
      <c r="S68"/>
      <c r="T68"/>
      <c r="U68"/>
      <c r="V68"/>
      <c r="W68"/>
      <c r="X68"/>
      <c r="Y68"/>
      <c r="Z68"/>
    </row>
    <row r="69" spans="1:29" ht="22.15" customHeight="1">
      <c r="A69" s="199" t="s">
        <v>589</v>
      </c>
      <c r="B69" s="199"/>
      <c r="E69" s="182">
        <f>E67+E68</f>
        <v>0</v>
      </c>
      <c r="H69" s="182">
        <f>H67+H68</f>
        <v>0</v>
      </c>
      <c r="J69"/>
      <c r="K69"/>
      <c r="L69"/>
      <c r="Q69"/>
      <c r="R69"/>
      <c r="S69"/>
      <c r="T69"/>
      <c r="U69"/>
      <c r="V69"/>
      <c r="W69"/>
      <c r="X69"/>
      <c r="Y69"/>
      <c r="Z69"/>
    </row>
    <row r="70" spans="1:29" ht="22.15" customHeight="1">
      <c r="A70" s="294" t="s">
        <v>590</v>
      </c>
      <c r="B70" s="199"/>
      <c r="C70" s="291"/>
      <c r="D70" s="89"/>
      <c r="E70" s="300">
        <f>E66+E69</f>
        <v>0</v>
      </c>
      <c r="H70" s="300">
        <f>IFERROR(H66+H69,0)</f>
        <v>0</v>
      </c>
      <c r="J70"/>
      <c r="K70"/>
      <c r="L70"/>
      <c r="Q70"/>
      <c r="R70"/>
      <c r="S70"/>
      <c r="T70"/>
      <c r="U70"/>
      <c r="V70"/>
      <c r="W70"/>
      <c r="X70"/>
      <c r="Y70"/>
      <c r="Z70"/>
    </row>
    <row r="71" spans="1:29" ht="22.15" customHeight="1">
      <c r="A71" s="199" t="s">
        <v>387</v>
      </c>
      <c r="B71" s="199"/>
      <c r="E71" s="339">
        <f>E66*E80</f>
        <v>0</v>
      </c>
      <c r="H71" s="339">
        <f>IFERROR(H66*E80,0)</f>
        <v>0</v>
      </c>
      <c r="J71"/>
      <c r="K71"/>
      <c r="L71"/>
      <c r="Q71"/>
      <c r="R71"/>
      <c r="S71"/>
      <c r="T71"/>
      <c r="U71"/>
      <c r="V71"/>
      <c r="W71"/>
      <c r="X71"/>
      <c r="Y71"/>
      <c r="Z71"/>
    </row>
    <row r="72" spans="1:29" ht="19.5">
      <c r="A72" s="199" t="s">
        <v>388</v>
      </c>
      <c r="B72" s="199"/>
      <c r="E72" s="339">
        <f>E69*E80</f>
        <v>0</v>
      </c>
      <c r="H72" s="339">
        <f>H69*E80</f>
        <v>0</v>
      </c>
      <c r="J72"/>
      <c r="K72"/>
      <c r="L72"/>
      <c r="M72"/>
      <c r="N72"/>
      <c r="O72"/>
      <c r="P72"/>
      <c r="S72"/>
      <c r="T72"/>
      <c r="U72"/>
      <c r="V72"/>
      <c r="W72"/>
    </row>
    <row r="73" spans="1:29" ht="19.5">
      <c r="A73" s="294" t="s">
        <v>593</v>
      </c>
      <c r="B73" s="199"/>
      <c r="C73" s="291"/>
      <c r="D73" s="89"/>
      <c r="E73" s="387">
        <f>E71+E72</f>
        <v>0</v>
      </c>
      <c r="F73" s="303"/>
      <c r="G73" s="304"/>
      <c r="H73" s="387">
        <f>H71+H72</f>
        <v>0</v>
      </c>
      <c r="J73"/>
      <c r="K73"/>
      <c r="L73"/>
      <c r="M73"/>
      <c r="S73"/>
      <c r="T73"/>
      <c r="U73"/>
      <c r="V73"/>
      <c r="W73"/>
    </row>
    <row r="74" spans="1:29" ht="19.5">
      <c r="A74" s="17" t="s">
        <v>626</v>
      </c>
      <c r="E74" s="319"/>
      <c r="H74" s="387">
        <f>E73-H73</f>
        <v>0</v>
      </c>
      <c r="J74"/>
      <c r="K74"/>
      <c r="L74"/>
      <c r="M74"/>
      <c r="S74"/>
      <c r="T74"/>
      <c r="U74"/>
      <c r="V74"/>
      <c r="W74"/>
    </row>
    <row r="75" spans="1:29" ht="19.5">
      <c r="A75" s="294" t="s">
        <v>594</v>
      </c>
      <c r="B75" s="199"/>
      <c r="C75"/>
      <c r="D75"/>
      <c r="E75" s="774">
        <f>E70*E81/1000</f>
        <v>0</v>
      </c>
      <c r="H75" s="775">
        <f>H70*E81/1000</f>
        <v>0</v>
      </c>
      <c r="J75"/>
      <c r="K75"/>
      <c r="L75"/>
      <c r="M75"/>
      <c r="S75"/>
      <c r="T75"/>
      <c r="U75"/>
      <c r="V75"/>
      <c r="W75"/>
    </row>
    <row r="76" spans="1:29" ht="19.5">
      <c r="A76" s="462" t="s">
        <v>595</v>
      </c>
      <c r="B76" s="462"/>
      <c r="C76" s="463"/>
      <c r="D76" s="463"/>
      <c r="E76" s="464" t="e">
        <f>VLOOKUP(B1,C93:H97,3,FALSE)</f>
        <v>#N/A</v>
      </c>
      <c r="F76" s="465"/>
      <c r="G76" s="465"/>
      <c r="H76" s="464" t="e">
        <f>VLOOKUP(B1,C93:H97,6,FALSE)</f>
        <v>#N/A</v>
      </c>
      <c r="J76"/>
      <c r="K76"/>
      <c r="L76"/>
      <c r="M76"/>
      <c r="S76"/>
      <c r="T76"/>
      <c r="U76"/>
      <c r="V76"/>
      <c r="W76"/>
    </row>
    <row r="77" spans="1:29" customFormat="1" ht="19.5">
      <c r="A77" s="1"/>
      <c r="B77" s="1"/>
      <c r="C77" s="1"/>
      <c r="D77" s="1"/>
      <c r="E77" s="1"/>
      <c r="F77" s="1"/>
      <c r="G77" s="1"/>
      <c r="H77" s="1"/>
      <c r="I77" s="1"/>
      <c r="J77" s="34"/>
      <c r="K77" s="1"/>
      <c r="L77" s="1"/>
      <c r="N77" s="1"/>
      <c r="O77" s="987" t="s">
        <v>926</v>
      </c>
      <c r="P77" s="987"/>
      <c r="Q77" s="1"/>
      <c r="R77" s="1"/>
      <c r="X77" s="1"/>
      <c r="Y77" s="1"/>
      <c r="Z77" s="1"/>
      <c r="AA77" s="1"/>
      <c r="AB77" s="1"/>
      <c r="AC77" s="1"/>
    </row>
    <row r="78" spans="1:29" customFormat="1" ht="19.5">
      <c r="J78" s="34"/>
      <c r="K78" s="1"/>
      <c r="L78" s="1"/>
      <c r="M78" s="1"/>
      <c r="N78" s="1"/>
      <c r="O78" s="240" t="s">
        <v>912</v>
      </c>
      <c r="P78" s="240"/>
      <c r="Q78" s="1"/>
      <c r="R78" s="1"/>
      <c r="X78" s="1"/>
      <c r="Y78" s="1"/>
    </row>
    <row r="79" spans="1:29" customFormat="1" ht="19.149999999999999" customHeight="1" thickBot="1">
      <c r="C79" s="1"/>
      <c r="D79" s="1"/>
      <c r="E79" s="9" t="s">
        <v>976</v>
      </c>
      <c r="F79" s="1"/>
      <c r="G79" s="1"/>
      <c r="H79" s="1"/>
      <c r="J79" s="34"/>
      <c r="K79" s="1"/>
      <c r="L79" s="1"/>
      <c r="M79" s="1"/>
      <c r="N79" s="1"/>
      <c r="O79" s="1"/>
      <c r="P79" s="1"/>
      <c r="W79" s="1051" t="s">
        <v>975</v>
      </c>
    </row>
    <row r="80" spans="1:29" customFormat="1" ht="22.15" customHeight="1" thickBot="1">
      <c r="A80" s="1"/>
      <c r="C80" s="1233" t="s">
        <v>899</v>
      </c>
      <c r="D80" s="1234"/>
      <c r="E80" s="1220">
        <v>4.3800000000000002E-4</v>
      </c>
      <c r="F80" s="1221"/>
      <c r="G80" s="1210" t="s">
        <v>634</v>
      </c>
      <c r="H80" s="1211"/>
      <c r="J80" s="87" t="s">
        <v>444</v>
      </c>
      <c r="K80" s="548"/>
      <c r="L80" s="548"/>
      <c r="M80" s="796" t="s">
        <v>889</v>
      </c>
      <c r="N80" s="347"/>
      <c r="O80" s="1232" t="s">
        <v>893</v>
      </c>
      <c r="P80" s="1232"/>
      <c r="Q80" s="1232"/>
      <c r="R80" s="551"/>
      <c r="S80" s="1"/>
      <c r="T80" s="1232" t="s">
        <v>894</v>
      </c>
      <c r="U80" s="1232"/>
      <c r="V80" s="1"/>
      <c r="W80" t="s">
        <v>923</v>
      </c>
      <c r="X80" s="1"/>
    </row>
    <row r="81" spans="1:29" customFormat="1" ht="19.149999999999999" customHeight="1" thickTop="1" thickBot="1">
      <c r="A81" s="1228" t="s">
        <v>644</v>
      </c>
      <c r="B81" s="1229"/>
      <c r="C81" s="1235" t="s">
        <v>572</v>
      </c>
      <c r="D81" s="1236"/>
      <c r="E81" s="1230">
        <f>'2-1 算定シート（電動式）'!L64</f>
        <v>0</v>
      </c>
      <c r="F81" s="1231"/>
      <c r="G81" s="1212" t="s">
        <v>236</v>
      </c>
      <c r="H81" s="1213"/>
      <c r="J81" s="764"/>
      <c r="K81" s="752" t="s">
        <v>887</v>
      </c>
      <c r="L81" s="753" t="s">
        <v>888</v>
      </c>
      <c r="M81" s="244" t="s">
        <v>887</v>
      </c>
      <c r="N81" s="792" t="s">
        <v>888</v>
      </c>
      <c r="O81" s="990" t="s">
        <v>895</v>
      </c>
      <c r="P81" s="990" t="s">
        <v>924</v>
      </c>
      <c r="Q81" s="1001" t="s">
        <v>896</v>
      </c>
      <c r="R81" s="997" t="s">
        <v>925</v>
      </c>
      <c r="S81" s="801" t="s">
        <v>900</v>
      </c>
      <c r="T81" s="752" t="s">
        <v>897</v>
      </c>
      <c r="U81" s="792" t="s">
        <v>898</v>
      </c>
      <c r="V81" s="983" t="s">
        <v>903</v>
      </c>
      <c r="W81" s="1052" t="s">
        <v>971</v>
      </c>
      <c r="X81" s="1046" t="s">
        <v>931</v>
      </c>
    </row>
    <row r="82" spans="1:29" customFormat="1" ht="19.899999999999999" customHeight="1" thickBot="1">
      <c r="C82" s="1208" t="s">
        <v>576</v>
      </c>
      <c r="D82" s="1209"/>
      <c r="E82" s="1209"/>
      <c r="F82" s="1209"/>
      <c r="G82" s="771">
        <f>ROUND(((7+273)/(32-7))/((7+273)/(30-7)),2)</f>
        <v>0.92</v>
      </c>
      <c r="H82" s="772"/>
      <c r="J82" s="765" t="s">
        <v>300</v>
      </c>
      <c r="K82" s="754">
        <f>IFERROR(E53/E55,0)</f>
        <v>0</v>
      </c>
      <c r="L82" s="755">
        <f>IFERROR(E54/E56,0)</f>
        <v>0</v>
      </c>
      <c r="M82" s="767">
        <f>IFERROR(H53/H55,0)</f>
        <v>0</v>
      </c>
      <c r="N82" s="799">
        <f>IFERROR(H54/H56,0)</f>
        <v>0</v>
      </c>
      <c r="O82" s="991">
        <f>IFERROR(E64*(E57/H57),0)</f>
        <v>0</v>
      </c>
      <c r="P82" s="991">
        <f>IF(X82&gt;1,O82*X82,O82)</f>
        <v>0</v>
      </c>
      <c r="Q82" s="1002">
        <f>IFERROR(E65*(E58/H58),0)</f>
        <v>0</v>
      </c>
      <c r="R82" s="998">
        <f>IF(X82&gt;1,Q82*X82,Q82)</f>
        <v>0</v>
      </c>
      <c r="S82" s="802">
        <f>O82+Q82</f>
        <v>0</v>
      </c>
      <c r="T82" s="29"/>
      <c r="U82" s="793"/>
      <c r="V82" s="984">
        <f>T82+U82</f>
        <v>0</v>
      </c>
      <c r="W82" s="986" t="e">
        <f>$H$53/$E$53</f>
        <v>#DIV/0!</v>
      </c>
      <c r="X82" s="986">
        <f>IFERROR(W82,1)</f>
        <v>1</v>
      </c>
    </row>
    <row r="83" spans="1:29" ht="19.5">
      <c r="A83"/>
      <c r="B83"/>
      <c r="C83" s="296" t="s">
        <v>580</v>
      </c>
      <c r="I83"/>
      <c r="J83" s="749" t="s">
        <v>302</v>
      </c>
      <c r="K83" s="756">
        <f>IFERROR(E53/E55,0)</f>
        <v>0</v>
      </c>
      <c r="L83" s="757">
        <f>IFERROR(E54/E56,0)</f>
        <v>0</v>
      </c>
      <c r="M83" s="768">
        <f>IFERROR(H53/H55,0)</f>
        <v>0</v>
      </c>
      <c r="N83" s="800">
        <f>IFERROR(H54/H56,0)</f>
        <v>0</v>
      </c>
      <c r="O83" s="992">
        <f>IFERROR(E64*(E57/H57),0)</f>
        <v>0</v>
      </c>
      <c r="P83" s="992">
        <f t="shared" ref="P83:P85" si="9">IF(X83&gt;1,O83*X83,O83)</f>
        <v>0</v>
      </c>
      <c r="Q83" s="1003">
        <f>IFERROR(E65*(E58/H58),0)</f>
        <v>0</v>
      </c>
      <c r="R83" s="999">
        <f t="shared" ref="R83:R84" si="10">IF(X83&gt;1,Q83*X83,Q83)</f>
        <v>0</v>
      </c>
      <c r="S83" s="802">
        <f>O83+Q83</f>
        <v>0</v>
      </c>
      <c r="T83" s="762">
        <f>IFERROR(E67*(K48/(K25+K28)),0)</f>
        <v>0</v>
      </c>
      <c r="U83" s="794">
        <f>IFERROR(E68*(L48/L28),0)</f>
        <v>0</v>
      </c>
      <c r="V83" s="989">
        <f>T83+U83</f>
        <v>0</v>
      </c>
      <c r="W83" s="986" t="e">
        <f>$H$53/$E$53</f>
        <v>#DIV/0!</v>
      </c>
      <c r="X83" s="986">
        <f>IFERROR(W83,1)</f>
        <v>1</v>
      </c>
      <c r="Y83"/>
      <c r="Z83"/>
      <c r="AA83"/>
      <c r="AB83"/>
      <c r="AC83"/>
    </row>
    <row r="84" spans="1:29" ht="19.5">
      <c r="A84"/>
      <c r="B84"/>
      <c r="I84"/>
      <c r="J84" s="765" t="s">
        <v>304</v>
      </c>
      <c r="K84" s="754">
        <f>IFERROR(E53/E55*G82,0)</f>
        <v>0</v>
      </c>
      <c r="L84" s="755">
        <f>IFERROR(E54/E56,0)</f>
        <v>0</v>
      </c>
      <c r="M84" s="767">
        <f>IFERROR(H53/H55*G82,0)</f>
        <v>0</v>
      </c>
      <c r="N84" s="799">
        <f>IFERROR(H54/H56,0)</f>
        <v>0</v>
      </c>
      <c r="O84" s="991">
        <f>IFERROR(E64*(E57/H57),0)</f>
        <v>0</v>
      </c>
      <c r="P84" s="991">
        <f t="shared" si="9"/>
        <v>0</v>
      </c>
      <c r="Q84" s="1002">
        <f>IFERROR(E65*(E58/H58),0)</f>
        <v>0</v>
      </c>
      <c r="R84" s="998">
        <f t="shared" si="10"/>
        <v>0</v>
      </c>
      <c r="S84" s="802">
        <f>O84+Q84</f>
        <v>0</v>
      </c>
      <c r="T84" s="761">
        <f>IFERROR(E67*(K48/(K25+K28)),0)</f>
        <v>0</v>
      </c>
      <c r="U84" s="793">
        <f>IFERROR(E68*(L48/L28),0)</f>
        <v>0</v>
      </c>
      <c r="V84" s="988">
        <f t="shared" ref="V84:V85" si="11">T84+U84</f>
        <v>0</v>
      </c>
      <c r="W84" s="986" t="e">
        <f t="shared" ref="W84:W85" si="12">$H$53/$E$53</f>
        <v>#DIV/0!</v>
      </c>
      <c r="X84" s="986">
        <f t="shared" ref="X84:X85" si="13">IFERROR(W84,1)</f>
        <v>1</v>
      </c>
    </row>
    <row r="85" spans="1:29" customFormat="1" ht="22.15" customHeight="1" thickBot="1">
      <c r="C85" s="1"/>
      <c r="D85" s="1"/>
      <c r="E85" s="1"/>
      <c r="F85" s="1"/>
      <c r="G85" s="1"/>
      <c r="H85" s="1"/>
      <c r="J85" s="766" t="s">
        <v>911</v>
      </c>
      <c r="K85" s="758">
        <f>IFERROR(E53/E55,0)</f>
        <v>0</v>
      </c>
      <c r="L85" s="759"/>
      <c r="M85" s="769">
        <f>IFERROR(H53/H55,0)</f>
        <v>0</v>
      </c>
      <c r="N85" s="795"/>
      <c r="O85" s="993">
        <f>IFERROR(E64*(E57/H57),0)</f>
        <v>0</v>
      </c>
      <c r="P85" s="993">
        <f t="shared" si="9"/>
        <v>0</v>
      </c>
      <c r="Q85" s="1004"/>
      <c r="R85" s="1000"/>
      <c r="S85" s="803">
        <f>O85+Q85</f>
        <v>0</v>
      </c>
      <c r="T85" s="763">
        <f>IFERROR(E67*(K45/(K25+K28)),0)</f>
        <v>0</v>
      </c>
      <c r="U85" s="795"/>
      <c r="V85" s="985">
        <f t="shared" si="11"/>
        <v>0</v>
      </c>
      <c r="W85" s="986" t="e">
        <f t="shared" si="12"/>
        <v>#DIV/0!</v>
      </c>
      <c r="X85" s="986">
        <f t="shared" si="13"/>
        <v>1</v>
      </c>
      <c r="Y85" s="1"/>
      <c r="Z85" s="1"/>
      <c r="AA85" s="1"/>
      <c r="AB85" s="1"/>
      <c r="AC85" s="1"/>
    </row>
    <row r="86" spans="1:29" s="88" customFormat="1" ht="19.5">
      <c r="A86" s="83"/>
      <c r="B86" s="83"/>
      <c r="I86"/>
      <c r="J86"/>
      <c r="K86"/>
      <c r="L86" s="1"/>
      <c r="M86" s="1"/>
      <c r="N86" s="1"/>
      <c r="O86" s="1"/>
      <c r="P86" s="1"/>
      <c r="Q86" s="98"/>
      <c r="R86" s="98"/>
      <c r="S86" s="1"/>
      <c r="T86" s="1"/>
      <c r="U86"/>
      <c r="V86"/>
      <c r="W86"/>
      <c r="X86"/>
      <c r="Y86"/>
      <c r="Z86"/>
      <c r="AA86"/>
      <c r="AB86"/>
      <c r="AC86"/>
    </row>
    <row r="87" spans="1:29" s="88" customFormat="1" ht="19.5">
      <c r="U87"/>
      <c r="X87" s="22"/>
    </row>
    <row r="88" spans="1:29" s="88" customFormat="1" ht="19.5">
      <c r="J88" s="97"/>
      <c r="K88" s="22"/>
      <c r="T88" s="1051" t="s">
        <v>954</v>
      </c>
    </row>
    <row r="89" spans="1:29" s="88" customFormat="1" ht="19.5">
      <c r="W89"/>
    </row>
    <row r="90" spans="1:29" s="88" customFormat="1" ht="19.5"/>
    <row r="91" spans="1:29" s="88" customFormat="1" ht="19.5"/>
    <row r="92" spans="1:29" s="88" customFormat="1" ht="19.5">
      <c r="C92"/>
      <c r="D92"/>
      <c r="E92"/>
      <c r="F92"/>
      <c r="G92"/>
      <c r="H92"/>
    </row>
    <row r="93" spans="1:29" ht="19.5">
      <c r="A93"/>
      <c r="B93"/>
      <c r="C93"/>
      <c r="D93"/>
      <c r="E93"/>
      <c r="F93"/>
      <c r="G93"/>
      <c r="H93"/>
      <c r="I93"/>
      <c r="J93"/>
      <c r="K93"/>
      <c r="N93"/>
      <c r="O93"/>
      <c r="P93"/>
      <c r="Q93"/>
      <c r="R93"/>
      <c r="S93"/>
      <c r="T93"/>
      <c r="U93" s="88"/>
      <c r="V93" s="88"/>
      <c r="W93" s="88"/>
      <c r="X93" s="88"/>
      <c r="Y93" s="88"/>
      <c r="Z93" s="88"/>
      <c r="AA93" s="88"/>
      <c r="AB93" s="88"/>
      <c r="AC93" s="88"/>
    </row>
    <row r="94" spans="1:29" ht="19.5">
      <c r="A94"/>
      <c r="B94"/>
      <c r="C94"/>
      <c r="D94"/>
      <c r="E94"/>
      <c r="F94"/>
      <c r="G94"/>
      <c r="H94"/>
      <c r="I94"/>
      <c r="J94"/>
      <c r="K94"/>
      <c r="N94"/>
      <c r="O94"/>
      <c r="P94"/>
      <c r="Q94"/>
      <c r="R94"/>
      <c r="S94"/>
      <c r="T94"/>
      <c r="U94"/>
      <c r="V94"/>
    </row>
    <row r="95" spans="1:29" ht="19.5">
      <c r="A95"/>
      <c r="B95"/>
      <c r="C95"/>
      <c r="D95"/>
      <c r="E95"/>
      <c r="F95"/>
      <c r="G95"/>
      <c r="H95"/>
      <c r="I95"/>
      <c r="J95"/>
      <c r="K95"/>
      <c r="N95"/>
      <c r="O95"/>
      <c r="P95"/>
      <c r="Q95"/>
      <c r="R95"/>
      <c r="S95"/>
      <c r="T95"/>
      <c r="U95"/>
      <c r="V95"/>
    </row>
    <row r="96" spans="1:29" ht="19.5">
      <c r="A96"/>
      <c r="B96"/>
      <c r="C96"/>
      <c r="D96"/>
      <c r="E96"/>
      <c r="F96"/>
      <c r="G96"/>
      <c r="H96"/>
      <c r="I96"/>
      <c r="J96"/>
      <c r="K96"/>
      <c r="N96"/>
      <c r="O96"/>
      <c r="P96"/>
      <c r="Q96"/>
      <c r="R96"/>
      <c r="S96"/>
      <c r="T96"/>
      <c r="U96"/>
      <c r="V96"/>
    </row>
    <row r="97" spans="1:22" ht="19.5">
      <c r="A97"/>
      <c r="B97"/>
      <c r="C97"/>
      <c r="D97"/>
      <c r="E97"/>
      <c r="F97"/>
      <c r="G97"/>
      <c r="H97"/>
      <c r="I97"/>
      <c r="J97"/>
      <c r="K97"/>
      <c r="U97"/>
      <c r="V97"/>
    </row>
    <row r="98" spans="1:22" ht="19.5">
      <c r="A98"/>
      <c r="B98"/>
      <c r="C98"/>
      <c r="D98"/>
      <c r="E98"/>
      <c r="F98"/>
      <c r="G98"/>
      <c r="H98"/>
      <c r="I98"/>
      <c r="J98"/>
      <c r="K98"/>
    </row>
    <row r="99" spans="1:22" ht="19.5">
      <c r="A99"/>
      <c r="B99"/>
      <c r="C99"/>
      <c r="D99"/>
      <c r="E99"/>
      <c r="F99"/>
      <c r="G99"/>
      <c r="H99"/>
      <c r="I99"/>
      <c r="J99"/>
      <c r="K99"/>
    </row>
    <row r="100" spans="1:22" ht="19.5">
      <c r="A100"/>
      <c r="B100"/>
      <c r="C100"/>
      <c r="D100"/>
      <c r="E100"/>
      <c r="F100"/>
      <c r="G100"/>
      <c r="H100"/>
      <c r="I100"/>
      <c r="J100"/>
      <c r="K100"/>
    </row>
    <row r="101" spans="1:22" ht="19.5">
      <c r="A101"/>
      <c r="B101"/>
      <c r="C101"/>
      <c r="D101"/>
      <c r="E101"/>
      <c r="F101"/>
      <c r="G101"/>
      <c r="H101"/>
      <c r="I101"/>
      <c r="J101"/>
      <c r="K101"/>
    </row>
    <row r="102" spans="1:22" ht="19.5">
      <c r="A102"/>
      <c r="B102"/>
      <c r="C102"/>
      <c r="D102"/>
      <c r="E102"/>
      <c r="F102"/>
      <c r="G102"/>
      <c r="H102"/>
      <c r="I102"/>
      <c r="J102"/>
      <c r="K102"/>
    </row>
    <row r="103" spans="1:22" ht="19.5">
      <c r="A103"/>
      <c r="B103"/>
      <c r="C103"/>
      <c r="D103"/>
      <c r="E103"/>
      <c r="F103"/>
      <c r="G103"/>
      <c r="H103"/>
      <c r="I103"/>
      <c r="J103"/>
      <c r="K103"/>
    </row>
    <row r="104" spans="1:22" ht="19.5">
      <c r="A104"/>
      <c r="B104"/>
      <c r="C104"/>
      <c r="D104"/>
      <c r="E104"/>
      <c r="F104"/>
      <c r="G104"/>
      <c r="H104"/>
      <c r="I104"/>
      <c r="J104"/>
      <c r="K104"/>
    </row>
    <row r="105" spans="1:22" ht="19.5">
      <c r="A105"/>
      <c r="B105"/>
      <c r="C105"/>
      <c r="D105"/>
      <c r="E105"/>
      <c r="F105"/>
      <c r="G105"/>
      <c r="H105"/>
      <c r="I105"/>
      <c r="J105"/>
      <c r="K105"/>
    </row>
    <row r="106" spans="1:22" ht="19.5">
      <c r="A106"/>
      <c r="B106"/>
      <c r="C106"/>
      <c r="D106"/>
      <c r="E106"/>
      <c r="F106"/>
      <c r="G106"/>
      <c r="H106"/>
      <c r="I106"/>
      <c r="J106"/>
      <c r="K106"/>
    </row>
    <row r="107" spans="1:22" ht="19.5">
      <c r="A107"/>
      <c r="B107"/>
      <c r="C107"/>
      <c r="D107"/>
      <c r="E107"/>
      <c r="F107"/>
      <c r="G107"/>
      <c r="H107"/>
      <c r="I107"/>
      <c r="J107"/>
      <c r="K107"/>
    </row>
    <row r="108" spans="1:22" ht="19.5">
      <c r="A108"/>
      <c r="B108"/>
      <c r="C108"/>
      <c r="D108"/>
      <c r="E108"/>
      <c r="F108"/>
      <c r="G108"/>
      <c r="H108"/>
      <c r="I108"/>
      <c r="J108"/>
      <c r="K108"/>
    </row>
    <row r="109" spans="1:22" ht="19.5">
      <c r="A109"/>
      <c r="B109"/>
      <c r="C109"/>
      <c r="D109"/>
      <c r="E109"/>
      <c r="F109"/>
      <c r="G109"/>
      <c r="H109"/>
      <c r="I109"/>
      <c r="J109"/>
      <c r="K109"/>
    </row>
    <row r="110" spans="1:22" ht="19.5">
      <c r="A110"/>
      <c r="B110"/>
      <c r="C110"/>
      <c r="D110"/>
      <c r="E110"/>
      <c r="F110"/>
      <c r="G110"/>
      <c r="H110"/>
      <c r="I110"/>
      <c r="J110"/>
      <c r="K110"/>
    </row>
    <row r="111" spans="1:22" ht="19.5">
      <c r="A111"/>
      <c r="B111"/>
      <c r="C111"/>
      <c r="D111"/>
      <c r="E111"/>
      <c r="F111"/>
      <c r="G111"/>
      <c r="H111"/>
      <c r="I111"/>
      <c r="J111"/>
      <c r="K111"/>
    </row>
    <row r="112" spans="1:22" ht="19.5">
      <c r="A112"/>
      <c r="B112"/>
      <c r="C112"/>
      <c r="D112"/>
      <c r="E112"/>
      <c r="F112"/>
      <c r="G112"/>
      <c r="H112"/>
      <c r="I112"/>
      <c r="J112"/>
      <c r="K112"/>
    </row>
    <row r="113" spans="1:11" ht="19.5">
      <c r="A113"/>
      <c r="B113"/>
      <c r="C113"/>
      <c r="D113"/>
      <c r="E113"/>
      <c r="F113"/>
      <c r="G113"/>
      <c r="H113"/>
      <c r="I113"/>
      <c r="J113"/>
      <c r="K113"/>
    </row>
    <row r="114" spans="1:11" ht="19.5">
      <c r="A114"/>
      <c r="B114"/>
      <c r="C114"/>
      <c r="D114"/>
      <c r="E114"/>
      <c r="F114"/>
      <c r="G114"/>
      <c r="H114"/>
      <c r="I114"/>
      <c r="J114"/>
      <c r="K114"/>
    </row>
    <row r="115" spans="1:11" ht="19.5">
      <c r="A115"/>
      <c r="B115"/>
      <c r="C115"/>
      <c r="D115"/>
      <c r="E115"/>
      <c r="F115"/>
      <c r="G115"/>
      <c r="H115"/>
      <c r="I115"/>
      <c r="J115"/>
      <c r="K115"/>
    </row>
    <row r="116" spans="1:11" ht="19.5">
      <c r="A116"/>
      <c r="B116"/>
      <c r="C116"/>
      <c r="D116"/>
      <c r="E116"/>
      <c r="F116"/>
      <c r="G116"/>
      <c r="H116"/>
      <c r="I116"/>
      <c r="J116"/>
      <c r="K116"/>
    </row>
  </sheetData>
  <mergeCells count="15">
    <mergeCell ref="C82:F82"/>
    <mergeCell ref="G80:H80"/>
    <mergeCell ref="G81:H81"/>
    <mergeCell ref="U2:X2"/>
    <mergeCell ref="B1:C1"/>
    <mergeCell ref="B31:C31"/>
    <mergeCell ref="E80:F80"/>
    <mergeCell ref="C23:D25"/>
    <mergeCell ref="C26:D29"/>
    <mergeCell ref="A81:B81"/>
    <mergeCell ref="E81:F81"/>
    <mergeCell ref="T80:U80"/>
    <mergeCell ref="O80:Q80"/>
    <mergeCell ref="C80:D80"/>
    <mergeCell ref="C81:D81"/>
  </mergeCells>
  <phoneticPr fontId="32"/>
  <printOptions horizontalCentered="1" verticalCentered="1"/>
  <pageMargins left="0.31496062992125984" right="0.31496062992125984" top="0.35433070866141736" bottom="0.35433070866141736" header="0.31496062992125984" footer="0.31496062992125984"/>
  <pageSetup paperSize="8" scale="46" orientation="landscape" r:id="rId1"/>
  <ignoredErrors>
    <ignoredError sqref="L15 L3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585D7-0FB4-4803-BBD2-730F891DA91F}">
  <sheetPr>
    <tabColor theme="7" tint="-0.499984740745262"/>
  </sheetPr>
  <dimension ref="A1:Q274"/>
  <sheetViews>
    <sheetView topLeftCell="A248" zoomScaleNormal="100" workbookViewId="0">
      <selection activeCell="H267" sqref="H267"/>
    </sheetView>
  </sheetViews>
  <sheetFormatPr defaultColWidth="8.75" defaultRowHeight="18.75"/>
  <cols>
    <col min="1" max="1" width="5.75" style="199" customWidth="1"/>
    <col min="2" max="4" width="8.75" style="199"/>
    <col min="5" max="5" width="9.25" style="199" customWidth="1"/>
    <col min="6" max="6" width="9.375" style="199" bestFit="1" customWidth="1"/>
    <col min="7" max="9" width="9.125" style="199" customWidth="1"/>
    <col min="10" max="10" width="10.125" style="199" customWidth="1"/>
    <col min="11" max="16" width="8.75" style="199"/>
    <col min="17" max="17" width="9.375" style="199" bestFit="1" customWidth="1"/>
    <col min="18" max="16384" width="8.75" style="199"/>
  </cols>
  <sheetData>
    <row r="1" spans="1:9">
      <c r="A1" s="199" t="s">
        <v>196</v>
      </c>
    </row>
    <row r="2" spans="1:9">
      <c r="A2" s="199" t="s">
        <v>471</v>
      </c>
      <c r="C2" s="199" t="s">
        <v>472</v>
      </c>
    </row>
    <row r="3" spans="1:9" hidden="1">
      <c r="B3" s="199" t="s">
        <v>198</v>
      </c>
      <c r="H3" s="199" t="s">
        <v>199</v>
      </c>
    </row>
    <row r="4" spans="1:9" hidden="1">
      <c r="B4" s="201" t="s">
        <v>200</v>
      </c>
      <c r="C4" s="201">
        <v>38.9</v>
      </c>
      <c r="D4" s="201" t="s">
        <v>201</v>
      </c>
      <c r="E4" s="202" t="s">
        <v>202</v>
      </c>
      <c r="F4" s="203">
        <v>45</v>
      </c>
      <c r="G4" s="204" t="s">
        <v>203</v>
      </c>
      <c r="H4" s="201">
        <v>0.96699999999999997</v>
      </c>
      <c r="I4" s="201" t="s">
        <v>204</v>
      </c>
    </row>
    <row r="5" spans="1:9" hidden="1">
      <c r="B5" s="201" t="s">
        <v>205</v>
      </c>
      <c r="C5" s="201">
        <v>36.5</v>
      </c>
      <c r="D5" s="201" t="s">
        <v>201</v>
      </c>
      <c r="E5" s="202" t="s">
        <v>206</v>
      </c>
      <c r="F5" s="201">
        <v>40.9</v>
      </c>
      <c r="G5" s="204" t="s">
        <v>203</v>
      </c>
      <c r="H5" s="205" t="s">
        <v>207</v>
      </c>
    </row>
    <row r="6" spans="1:9" hidden="1">
      <c r="B6" s="201" t="s">
        <v>208</v>
      </c>
      <c r="C6" s="201">
        <v>50.1</v>
      </c>
      <c r="D6" s="201" t="s">
        <v>209</v>
      </c>
      <c r="E6" s="202" t="s">
        <v>210</v>
      </c>
      <c r="F6" s="201">
        <v>42.4</v>
      </c>
      <c r="G6" s="204" t="s">
        <v>203</v>
      </c>
      <c r="H6" s="201">
        <v>0.48199999999999998</v>
      </c>
      <c r="I6" s="201" t="s">
        <v>211</v>
      </c>
    </row>
    <row r="7" spans="1:9" hidden="1">
      <c r="B7" s="201"/>
      <c r="C7" s="201"/>
      <c r="D7" s="201"/>
      <c r="E7" s="206" t="s">
        <v>212</v>
      </c>
      <c r="F7" s="201">
        <v>54.7</v>
      </c>
      <c r="G7" s="204" t="s">
        <v>209</v>
      </c>
      <c r="I7" s="207"/>
    </row>
    <row r="8" spans="1:9" hidden="1">
      <c r="B8" s="199" t="s">
        <v>213</v>
      </c>
      <c r="E8" s="208">
        <v>2.4</v>
      </c>
      <c r="F8" s="209" t="s">
        <v>214</v>
      </c>
      <c r="G8" s="210"/>
      <c r="I8" s="207"/>
    </row>
    <row r="9" spans="1:9" hidden="1">
      <c r="G9" s="210"/>
      <c r="I9" s="207"/>
    </row>
    <row r="10" spans="1:9">
      <c r="B10" s="199" t="s">
        <v>473</v>
      </c>
      <c r="G10" s="210"/>
      <c r="I10" s="207"/>
    </row>
    <row r="11" spans="1:9">
      <c r="B11" s="199" t="s">
        <v>215</v>
      </c>
    </row>
    <row r="12" spans="1:9">
      <c r="A12" s="199" t="s">
        <v>216</v>
      </c>
    </row>
    <row r="13" spans="1:9">
      <c r="A13" s="211" t="s">
        <v>217</v>
      </c>
      <c r="B13" s="199" t="s">
        <v>300</v>
      </c>
    </row>
    <row r="14" spans="1:9">
      <c r="A14" s="211" t="s">
        <v>219</v>
      </c>
      <c r="B14" s="199" t="s">
        <v>302</v>
      </c>
    </row>
    <row r="15" spans="1:9">
      <c r="A15" s="211" t="s">
        <v>221</v>
      </c>
      <c r="B15" s="199" t="s">
        <v>304</v>
      </c>
    </row>
    <row r="16" spans="1:9">
      <c r="A16" s="211" t="s">
        <v>299</v>
      </c>
      <c r="B16" s="199" t="s">
        <v>465</v>
      </c>
    </row>
    <row r="17" spans="1:9">
      <c r="B17" s="199" t="s">
        <v>224</v>
      </c>
    </row>
    <row r="18" spans="1:9">
      <c r="A18" s="199" t="s">
        <v>474</v>
      </c>
    </row>
    <row r="19" spans="1:9">
      <c r="A19" s="211" t="s">
        <v>475</v>
      </c>
      <c r="B19" s="199" t="s">
        <v>476</v>
      </c>
    </row>
    <row r="20" spans="1:9">
      <c r="A20" s="211" t="s">
        <v>217</v>
      </c>
      <c r="B20" s="199" t="s">
        <v>300</v>
      </c>
    </row>
    <row r="21" spans="1:9">
      <c r="C21" s="199" t="s">
        <v>241</v>
      </c>
      <c r="E21" s="199" t="s">
        <v>242</v>
      </c>
      <c r="F21" s="211"/>
      <c r="G21" s="213">
        <f>ROUND(G27/1000,0)</f>
        <v>18</v>
      </c>
      <c r="H21" s="199" t="s">
        <v>249</v>
      </c>
      <c r="I21" s="212"/>
    </row>
    <row r="22" spans="1:9" hidden="1">
      <c r="B22" s="199" t="s">
        <v>477</v>
      </c>
      <c r="D22" s="199" t="s">
        <v>478</v>
      </c>
      <c r="G22" s="436">
        <f>G113</f>
        <v>32</v>
      </c>
      <c r="H22" s="199" t="s">
        <v>272</v>
      </c>
      <c r="I22" s="212"/>
    </row>
    <row r="23" spans="1:9" hidden="1">
      <c r="B23" s="199" t="s">
        <v>477</v>
      </c>
      <c r="D23" s="199" t="s">
        <v>479</v>
      </c>
      <c r="F23" s="211"/>
      <c r="G23" s="233">
        <v>10</v>
      </c>
      <c r="H23" s="199" t="s">
        <v>480</v>
      </c>
      <c r="I23" s="212"/>
    </row>
    <row r="24" spans="1:9" hidden="1">
      <c r="B24" s="199" t="s">
        <v>477</v>
      </c>
      <c r="F24" s="211"/>
      <c r="G24" s="436">
        <v>22</v>
      </c>
      <c r="H24" s="199" t="s">
        <v>481</v>
      </c>
      <c r="I24" s="212"/>
    </row>
    <row r="25" spans="1:9" hidden="1">
      <c r="B25" s="199" t="s">
        <v>477</v>
      </c>
      <c r="F25" s="211"/>
      <c r="G25" s="436">
        <v>6.5</v>
      </c>
      <c r="H25" s="199" t="s">
        <v>482</v>
      </c>
      <c r="I25" s="212" t="s">
        <v>483</v>
      </c>
    </row>
    <row r="26" spans="1:9" hidden="1">
      <c r="B26" s="199" t="s">
        <v>477</v>
      </c>
      <c r="D26" s="199" t="s">
        <v>484</v>
      </c>
      <c r="F26" s="211"/>
      <c r="G26" s="437">
        <v>0.4</v>
      </c>
      <c r="I26" s="212"/>
    </row>
    <row r="27" spans="1:9" hidden="1">
      <c r="B27" s="199" t="s">
        <v>477</v>
      </c>
      <c r="D27" s="199" t="s">
        <v>485</v>
      </c>
      <c r="F27" s="211"/>
      <c r="G27" s="213">
        <f>G22*G23*G24*G25*G26</f>
        <v>18304</v>
      </c>
      <c r="H27" s="199" t="s">
        <v>486</v>
      </c>
      <c r="I27" s="212"/>
    </row>
    <row r="28" spans="1:9">
      <c r="C28" s="199" t="s">
        <v>244</v>
      </c>
      <c r="E28" s="199" t="s">
        <v>245</v>
      </c>
      <c r="G28" s="213">
        <f>ROUND(G34/1000,0)</f>
        <v>11</v>
      </c>
      <c r="H28" s="199" t="s">
        <v>249</v>
      </c>
    </row>
    <row r="29" spans="1:9" hidden="1">
      <c r="B29" s="199" t="s">
        <v>477</v>
      </c>
      <c r="D29" s="199" t="s">
        <v>478</v>
      </c>
      <c r="G29" s="199">
        <f>G114</f>
        <v>27</v>
      </c>
      <c r="H29" s="199" t="s">
        <v>272</v>
      </c>
      <c r="I29" s="212"/>
    </row>
    <row r="30" spans="1:9" hidden="1">
      <c r="B30" s="199" t="s">
        <v>477</v>
      </c>
      <c r="D30" s="199" t="s">
        <v>479</v>
      </c>
      <c r="F30" s="211"/>
      <c r="G30" s="199">
        <v>10</v>
      </c>
      <c r="H30" s="199" t="s">
        <v>480</v>
      </c>
      <c r="I30" s="212"/>
    </row>
    <row r="31" spans="1:9" hidden="1">
      <c r="B31" s="199" t="s">
        <v>477</v>
      </c>
      <c r="F31" s="211"/>
      <c r="G31" s="199">
        <v>22</v>
      </c>
      <c r="H31" s="199" t="s">
        <v>481</v>
      </c>
      <c r="I31" s="212"/>
    </row>
    <row r="32" spans="1:9" hidden="1">
      <c r="B32" s="199" t="s">
        <v>477</v>
      </c>
      <c r="F32" s="211"/>
      <c r="G32" s="199">
        <v>4.5</v>
      </c>
      <c r="H32" s="199" t="s">
        <v>482</v>
      </c>
      <c r="I32" s="212" t="s">
        <v>487</v>
      </c>
    </row>
    <row r="33" spans="1:9" hidden="1">
      <c r="B33" s="199" t="s">
        <v>477</v>
      </c>
      <c r="D33" s="199" t="s">
        <v>484</v>
      </c>
      <c r="F33" s="211"/>
      <c r="G33" s="438">
        <v>0.4</v>
      </c>
      <c r="I33" s="212"/>
    </row>
    <row r="34" spans="1:9" hidden="1">
      <c r="B34" s="199" t="s">
        <v>477</v>
      </c>
      <c r="D34" s="199" t="s">
        <v>485</v>
      </c>
      <c r="F34" s="211"/>
      <c r="G34" s="213">
        <f>G29*G30*G31*G32*G33</f>
        <v>10692</v>
      </c>
      <c r="H34" s="199" t="s">
        <v>486</v>
      </c>
      <c r="I34" s="212"/>
    </row>
    <row r="35" spans="1:9">
      <c r="A35" s="211" t="s">
        <v>219</v>
      </c>
      <c r="B35" s="199" t="s">
        <v>302</v>
      </c>
    </row>
    <row r="36" spans="1:9">
      <c r="C36" s="199" t="s">
        <v>240</v>
      </c>
      <c r="D36" s="199" t="s">
        <v>241</v>
      </c>
      <c r="E36" s="199" t="s">
        <v>242</v>
      </c>
      <c r="F36" s="211"/>
      <c r="G36" s="436">
        <f>ROUND(G42/1000,0)</f>
        <v>37</v>
      </c>
      <c r="H36" s="199" t="s">
        <v>249</v>
      </c>
    </row>
    <row r="37" spans="1:9" hidden="1">
      <c r="B37" s="199" t="s">
        <v>477</v>
      </c>
      <c r="D37" s="199" t="s">
        <v>478</v>
      </c>
      <c r="G37" s="436">
        <f>G119</f>
        <v>76</v>
      </c>
      <c r="H37" s="199" t="s">
        <v>272</v>
      </c>
      <c r="I37" s="212"/>
    </row>
    <row r="38" spans="1:9" hidden="1">
      <c r="B38" s="199" t="s">
        <v>477</v>
      </c>
      <c r="D38" s="199" t="s">
        <v>479</v>
      </c>
      <c r="F38" s="211"/>
      <c r="G38" s="436">
        <v>10</v>
      </c>
      <c r="H38" s="199" t="s">
        <v>480</v>
      </c>
      <c r="I38" s="212"/>
    </row>
    <row r="39" spans="1:9" hidden="1">
      <c r="B39" s="199" t="s">
        <v>477</v>
      </c>
      <c r="F39" s="211"/>
      <c r="G39" s="436">
        <v>22</v>
      </c>
      <c r="H39" s="199" t="s">
        <v>481</v>
      </c>
      <c r="I39" s="212"/>
    </row>
    <row r="40" spans="1:9" hidden="1">
      <c r="B40" s="199" t="s">
        <v>477</v>
      </c>
      <c r="F40" s="211"/>
      <c r="G40" s="439">
        <v>5.5</v>
      </c>
      <c r="H40" s="199" t="s">
        <v>482</v>
      </c>
      <c r="I40" s="212" t="s">
        <v>488</v>
      </c>
    </row>
    <row r="41" spans="1:9" hidden="1">
      <c r="B41" s="199" t="s">
        <v>477</v>
      </c>
      <c r="D41" s="199" t="s">
        <v>484</v>
      </c>
      <c r="F41" s="211"/>
      <c r="G41" s="440">
        <v>0.4</v>
      </c>
      <c r="I41" s="212"/>
    </row>
    <row r="42" spans="1:9" hidden="1">
      <c r="B42" s="199" t="s">
        <v>477</v>
      </c>
      <c r="D42" s="199" t="s">
        <v>485</v>
      </c>
      <c r="F42" s="211"/>
      <c r="G42" s="213">
        <f>G37*G38*G39*G40*G41</f>
        <v>36784</v>
      </c>
      <c r="H42" s="199" t="s">
        <v>486</v>
      </c>
      <c r="I42" s="212"/>
    </row>
    <row r="43" spans="1:9">
      <c r="D43" s="199" t="s">
        <v>244</v>
      </c>
      <c r="E43" s="199" t="s">
        <v>245</v>
      </c>
      <c r="G43" s="436">
        <f>ROUND(G49/1000,0)</f>
        <v>30</v>
      </c>
      <c r="H43" s="199" t="s">
        <v>249</v>
      </c>
    </row>
    <row r="44" spans="1:9" hidden="1">
      <c r="B44" s="199" t="s">
        <v>477</v>
      </c>
      <c r="D44" s="199" t="s">
        <v>478</v>
      </c>
      <c r="G44" s="199">
        <f>G120</f>
        <v>75</v>
      </c>
      <c r="H44" s="199" t="s">
        <v>272</v>
      </c>
      <c r="I44" s="212"/>
    </row>
    <row r="45" spans="1:9" hidden="1">
      <c r="B45" s="199" t="s">
        <v>477</v>
      </c>
      <c r="D45" s="199" t="s">
        <v>479</v>
      </c>
      <c r="F45" s="211"/>
      <c r="G45" s="199">
        <v>10</v>
      </c>
      <c r="H45" s="199" t="s">
        <v>480</v>
      </c>
      <c r="I45" s="212"/>
    </row>
    <row r="46" spans="1:9" hidden="1">
      <c r="B46" s="199" t="s">
        <v>477</v>
      </c>
      <c r="F46" s="211"/>
      <c r="G46" s="199">
        <v>22</v>
      </c>
      <c r="H46" s="199" t="s">
        <v>481</v>
      </c>
      <c r="I46" s="212"/>
    </row>
    <row r="47" spans="1:9" hidden="1">
      <c r="B47" s="199" t="s">
        <v>477</v>
      </c>
      <c r="F47" s="211"/>
      <c r="G47" s="199">
        <v>4.5</v>
      </c>
      <c r="H47" s="199" t="s">
        <v>482</v>
      </c>
      <c r="I47" s="212" t="s">
        <v>487</v>
      </c>
    </row>
    <row r="48" spans="1:9" hidden="1">
      <c r="B48" s="199" t="s">
        <v>477</v>
      </c>
      <c r="D48" s="199" t="s">
        <v>484</v>
      </c>
      <c r="F48" s="211"/>
      <c r="G48" s="438">
        <v>0.4</v>
      </c>
      <c r="I48" s="212"/>
    </row>
    <row r="49" spans="1:9" hidden="1">
      <c r="B49" s="199" t="s">
        <v>477</v>
      </c>
      <c r="D49" s="199" t="s">
        <v>485</v>
      </c>
      <c r="F49" s="211"/>
      <c r="G49" s="213">
        <f>G44*G45*G46*G47*G48</f>
        <v>29700</v>
      </c>
      <c r="H49" s="199" t="s">
        <v>486</v>
      </c>
      <c r="I49" s="212"/>
    </row>
    <row r="50" spans="1:9">
      <c r="C50" s="199" t="s">
        <v>247</v>
      </c>
      <c r="D50" s="199" t="s">
        <v>241</v>
      </c>
      <c r="E50" s="199" t="s">
        <v>248</v>
      </c>
      <c r="F50" s="211"/>
      <c r="G50" s="439">
        <f>ROUND(G57/1000,1)</f>
        <v>2.1</v>
      </c>
      <c r="H50" s="199" t="s">
        <v>251</v>
      </c>
    </row>
    <row r="51" spans="1:9">
      <c r="D51" s="199" t="s">
        <v>244</v>
      </c>
      <c r="E51" s="199" t="s">
        <v>252</v>
      </c>
      <c r="G51" s="439">
        <f>ROUND(G58/1000,1)</f>
        <v>1.7</v>
      </c>
      <c r="H51" s="199" t="s">
        <v>251</v>
      </c>
    </row>
    <row r="52" spans="1:9" hidden="1">
      <c r="B52" s="199" t="s">
        <v>477</v>
      </c>
      <c r="C52" s="199" t="s">
        <v>320</v>
      </c>
      <c r="F52" s="210"/>
      <c r="G52" s="217">
        <f>G125</f>
        <v>3</v>
      </c>
      <c r="H52" s="210" t="s">
        <v>272</v>
      </c>
    </row>
    <row r="53" spans="1:9" hidden="1">
      <c r="B53" s="199" t="s">
        <v>477</v>
      </c>
      <c r="D53" s="199" t="s">
        <v>479</v>
      </c>
      <c r="E53" s="199" t="s">
        <v>489</v>
      </c>
      <c r="F53" s="211"/>
      <c r="G53" s="213">
        <f>10*22*G40</f>
        <v>1210</v>
      </c>
    </row>
    <row r="54" spans="1:9" hidden="1">
      <c r="B54" s="199" t="s">
        <v>477</v>
      </c>
      <c r="E54" s="199" t="s">
        <v>490</v>
      </c>
      <c r="F54" s="211"/>
      <c r="G54" s="213">
        <f>10*22*G47</f>
        <v>990</v>
      </c>
    </row>
    <row r="55" spans="1:9" hidden="1">
      <c r="B55" s="199" t="s">
        <v>477</v>
      </c>
      <c r="D55" s="199" t="s">
        <v>484</v>
      </c>
      <c r="G55" s="439">
        <v>0.4</v>
      </c>
    </row>
    <row r="56" spans="1:9" hidden="1">
      <c r="B56" s="199" t="s">
        <v>477</v>
      </c>
      <c r="D56" s="199" t="s">
        <v>491</v>
      </c>
      <c r="G56" s="441">
        <f>G55^0.6</f>
        <v>0.5770799623628855</v>
      </c>
    </row>
    <row r="57" spans="1:9" hidden="1">
      <c r="B57" s="199" t="s">
        <v>477</v>
      </c>
      <c r="D57" s="199" t="s">
        <v>492</v>
      </c>
      <c r="E57" s="199" t="s">
        <v>489</v>
      </c>
      <c r="F57" s="211"/>
      <c r="G57" s="213">
        <f>G$52*G$56*G53</f>
        <v>2094.8002633772744</v>
      </c>
    </row>
    <row r="58" spans="1:9" hidden="1">
      <c r="B58" s="199" t="s">
        <v>477</v>
      </c>
      <c r="E58" s="199" t="s">
        <v>490</v>
      </c>
      <c r="F58" s="211"/>
      <c r="G58" s="213">
        <f>G$52*G$56*G54</f>
        <v>1713.9274882177699</v>
      </c>
    </row>
    <row r="59" spans="1:9">
      <c r="A59" s="211" t="s">
        <v>221</v>
      </c>
      <c r="B59" s="199" t="s">
        <v>304</v>
      </c>
    </row>
    <row r="60" spans="1:9">
      <c r="C60" s="199" t="s">
        <v>240</v>
      </c>
      <c r="D60" s="199" t="s">
        <v>241</v>
      </c>
      <c r="E60" s="199" t="s">
        <v>242</v>
      </c>
      <c r="F60" s="211"/>
      <c r="G60" s="439">
        <f>ROUND(G67/1000,1)</f>
        <v>22.3</v>
      </c>
      <c r="H60" s="199" t="s">
        <v>249</v>
      </c>
    </row>
    <row r="61" spans="1:9" hidden="1">
      <c r="B61" s="199" t="s">
        <v>477</v>
      </c>
      <c r="D61" s="199" t="s">
        <v>478</v>
      </c>
      <c r="F61" s="199" t="s">
        <v>493</v>
      </c>
      <c r="G61" s="199">
        <f>G129</f>
        <v>46</v>
      </c>
      <c r="H61" s="199" t="s">
        <v>272</v>
      </c>
      <c r="I61" s="212"/>
    </row>
    <row r="62" spans="1:9" hidden="1">
      <c r="B62" s="199" t="s">
        <v>477</v>
      </c>
      <c r="D62" s="199" t="s">
        <v>479</v>
      </c>
      <c r="F62" s="211"/>
      <c r="G62" s="199">
        <v>10</v>
      </c>
      <c r="H62" s="199" t="s">
        <v>480</v>
      </c>
      <c r="I62" s="212"/>
    </row>
    <row r="63" spans="1:9" hidden="1">
      <c r="B63" s="199" t="s">
        <v>477</v>
      </c>
      <c r="F63" s="211"/>
      <c r="G63" s="199">
        <v>22</v>
      </c>
      <c r="H63" s="199" t="s">
        <v>481</v>
      </c>
      <c r="I63" s="212"/>
    </row>
    <row r="64" spans="1:9" hidden="1">
      <c r="B64" s="199" t="s">
        <v>477</v>
      </c>
      <c r="F64" s="211"/>
      <c r="G64" s="199">
        <v>5.5</v>
      </c>
      <c r="H64" s="199" t="s">
        <v>482</v>
      </c>
      <c r="I64" s="212" t="s">
        <v>488</v>
      </c>
    </row>
    <row r="65" spans="2:9" hidden="1">
      <c r="B65" s="199" t="s">
        <v>477</v>
      </c>
      <c r="F65" s="211"/>
      <c r="G65" s="213">
        <f>G62*G63*G64</f>
        <v>1210</v>
      </c>
      <c r="I65" s="212"/>
    </row>
    <row r="66" spans="2:9" hidden="1">
      <c r="B66" s="199" t="s">
        <v>477</v>
      </c>
      <c r="D66" s="199" t="s">
        <v>484</v>
      </c>
      <c r="F66" s="211"/>
      <c r="G66" s="438">
        <v>0.4</v>
      </c>
      <c r="I66" s="212"/>
    </row>
    <row r="67" spans="2:9" hidden="1">
      <c r="B67" s="199" t="s">
        <v>477</v>
      </c>
      <c r="D67" s="199" t="s">
        <v>485</v>
      </c>
      <c r="F67" s="211"/>
      <c r="G67" s="213">
        <f>G61*G65*G66</f>
        <v>22264</v>
      </c>
      <c r="H67" s="199" t="s">
        <v>486</v>
      </c>
      <c r="I67" s="212"/>
    </row>
    <row r="68" spans="2:9">
      <c r="D68" s="199" t="s">
        <v>244</v>
      </c>
      <c r="E68" s="199" t="s">
        <v>245</v>
      </c>
      <c r="G68" s="439">
        <f>ROUND(G75/1000,1)</f>
        <v>21.8</v>
      </c>
      <c r="H68" s="199" t="s">
        <v>249</v>
      </c>
    </row>
    <row r="69" spans="2:9" hidden="1">
      <c r="B69" s="199" t="s">
        <v>477</v>
      </c>
      <c r="D69" s="199" t="s">
        <v>478</v>
      </c>
      <c r="F69" s="199" t="s">
        <v>493</v>
      </c>
      <c r="G69" s="217">
        <f>G130</f>
        <v>55</v>
      </c>
      <c r="H69" s="199" t="s">
        <v>272</v>
      </c>
      <c r="I69" s="212"/>
    </row>
    <row r="70" spans="2:9" hidden="1">
      <c r="B70" s="199" t="s">
        <v>477</v>
      </c>
      <c r="D70" s="199" t="s">
        <v>479</v>
      </c>
      <c r="F70" s="211"/>
      <c r="G70" s="199">
        <v>10</v>
      </c>
      <c r="H70" s="199" t="s">
        <v>480</v>
      </c>
      <c r="I70" s="212"/>
    </row>
    <row r="71" spans="2:9" hidden="1">
      <c r="B71" s="199" t="s">
        <v>477</v>
      </c>
      <c r="F71" s="211"/>
      <c r="G71" s="199">
        <v>22</v>
      </c>
      <c r="H71" s="199" t="s">
        <v>481</v>
      </c>
      <c r="I71" s="212"/>
    </row>
    <row r="72" spans="2:9" hidden="1">
      <c r="B72" s="199" t="s">
        <v>477</v>
      </c>
      <c r="F72" s="211"/>
      <c r="G72" s="199">
        <v>4.5</v>
      </c>
      <c r="H72" s="199" t="s">
        <v>482</v>
      </c>
      <c r="I72" s="212" t="s">
        <v>487</v>
      </c>
    </row>
    <row r="73" spans="2:9" hidden="1">
      <c r="B73" s="199" t="s">
        <v>477</v>
      </c>
      <c r="F73" s="211"/>
      <c r="G73" s="213">
        <f>G70*G71*G72</f>
        <v>990</v>
      </c>
      <c r="I73" s="212"/>
    </row>
    <row r="74" spans="2:9" hidden="1">
      <c r="B74" s="199" t="s">
        <v>477</v>
      </c>
      <c r="D74" s="199" t="s">
        <v>484</v>
      </c>
      <c r="F74" s="211"/>
      <c r="G74" s="438">
        <v>0.4</v>
      </c>
      <c r="I74" s="212"/>
    </row>
    <row r="75" spans="2:9" hidden="1">
      <c r="B75" s="199" t="s">
        <v>477</v>
      </c>
      <c r="D75" s="199" t="s">
        <v>485</v>
      </c>
      <c r="F75" s="211"/>
      <c r="G75" s="213">
        <f>G69*G70*G71*G72*G74</f>
        <v>21780</v>
      </c>
      <c r="H75" s="199" t="s">
        <v>486</v>
      </c>
      <c r="I75" s="212"/>
    </row>
    <row r="76" spans="2:9">
      <c r="C76" s="199" t="s">
        <v>247</v>
      </c>
      <c r="D76" s="199" t="s">
        <v>241</v>
      </c>
      <c r="E76" s="199" t="s">
        <v>248</v>
      </c>
      <c r="F76" s="211"/>
      <c r="G76" s="199">
        <f>ROUND(G89/1000,1)</f>
        <v>5.7</v>
      </c>
      <c r="H76" s="199" t="s">
        <v>251</v>
      </c>
    </row>
    <row r="77" spans="2:9">
      <c r="D77" s="199" t="s">
        <v>244</v>
      </c>
      <c r="E77" s="199" t="s">
        <v>252</v>
      </c>
      <c r="G77" s="199">
        <f>ROUND(G90/1000,1)</f>
        <v>2.5</v>
      </c>
      <c r="H77" s="199" t="s">
        <v>251</v>
      </c>
    </row>
    <row r="78" spans="2:9" hidden="1">
      <c r="B78" s="199" t="s">
        <v>477</v>
      </c>
      <c r="C78" s="199" t="s">
        <v>494</v>
      </c>
      <c r="D78" s="199" t="s">
        <v>241</v>
      </c>
      <c r="E78" s="199" t="s">
        <v>495</v>
      </c>
      <c r="F78" s="211"/>
      <c r="G78" s="439">
        <f>G131</f>
        <v>1.5</v>
      </c>
      <c r="H78" s="210" t="s">
        <v>272</v>
      </c>
    </row>
    <row r="79" spans="2:9" hidden="1">
      <c r="B79" s="199" t="s">
        <v>477</v>
      </c>
      <c r="E79" s="199" t="s">
        <v>496</v>
      </c>
      <c r="F79" s="211"/>
      <c r="G79" s="199">
        <f>G137</f>
        <v>3.7</v>
      </c>
      <c r="H79" s="210" t="s">
        <v>272</v>
      </c>
    </row>
    <row r="80" spans="2:9" hidden="1">
      <c r="B80" s="199" t="s">
        <v>477</v>
      </c>
      <c r="E80" s="199" t="s">
        <v>497</v>
      </c>
      <c r="F80" s="211"/>
      <c r="G80" s="199">
        <f>G138</f>
        <v>3</v>
      </c>
      <c r="H80" s="210" t="s">
        <v>272</v>
      </c>
    </row>
    <row r="81" spans="1:9" hidden="1">
      <c r="B81" s="199" t="s">
        <v>477</v>
      </c>
      <c r="E81" s="199" t="s">
        <v>498</v>
      </c>
      <c r="F81" s="210"/>
      <c r="G81" s="439">
        <f>SUM(G78:G80)</f>
        <v>8.1999999999999993</v>
      </c>
      <c r="H81" s="210" t="s">
        <v>272</v>
      </c>
    </row>
    <row r="82" spans="1:9" hidden="1">
      <c r="B82" s="199" t="s">
        <v>477</v>
      </c>
      <c r="D82" s="199" t="s">
        <v>244</v>
      </c>
      <c r="E82" s="199" t="s">
        <v>497</v>
      </c>
      <c r="F82" s="211"/>
      <c r="G82" s="199">
        <v>2.2000000000000002</v>
      </c>
      <c r="H82" s="210" t="s">
        <v>405</v>
      </c>
    </row>
    <row r="83" spans="1:9" hidden="1">
      <c r="B83" s="199" t="s">
        <v>477</v>
      </c>
      <c r="E83" s="199" t="s">
        <v>499</v>
      </c>
      <c r="F83" s="211"/>
      <c r="G83" s="199">
        <v>2.2000000000000002</v>
      </c>
      <c r="H83" s="210" t="s">
        <v>272</v>
      </c>
    </row>
    <row r="84" spans="1:9" hidden="1">
      <c r="B84" s="199" t="s">
        <v>477</v>
      </c>
      <c r="E84" s="199" t="s">
        <v>498</v>
      </c>
      <c r="F84" s="210"/>
      <c r="G84" s="199">
        <f>SUM(G82:G83)</f>
        <v>4.4000000000000004</v>
      </c>
      <c r="H84" s="210" t="s">
        <v>272</v>
      </c>
    </row>
    <row r="85" spans="1:9" hidden="1">
      <c r="B85" s="199" t="s">
        <v>477</v>
      </c>
      <c r="D85" s="199" t="s">
        <v>479</v>
      </c>
      <c r="E85" s="199" t="s">
        <v>489</v>
      </c>
      <c r="F85" s="211"/>
      <c r="G85" s="213">
        <f>G65</f>
        <v>1210</v>
      </c>
    </row>
    <row r="86" spans="1:9" hidden="1">
      <c r="B86" s="199" t="s">
        <v>477</v>
      </c>
      <c r="E86" s="199" t="s">
        <v>490</v>
      </c>
      <c r="F86" s="211"/>
      <c r="G86" s="213">
        <f>G73</f>
        <v>990</v>
      </c>
    </row>
    <row r="87" spans="1:9" hidden="1">
      <c r="B87" s="199" t="s">
        <v>477</v>
      </c>
      <c r="D87" s="199" t="s">
        <v>484</v>
      </c>
      <c r="G87" s="439">
        <v>0.4</v>
      </c>
    </row>
    <row r="88" spans="1:9" hidden="1">
      <c r="B88" s="199" t="s">
        <v>477</v>
      </c>
      <c r="D88" s="199" t="s">
        <v>491</v>
      </c>
      <c r="G88" s="441">
        <f>G87^0.6</f>
        <v>0.5770799623628855</v>
      </c>
    </row>
    <row r="89" spans="1:9" hidden="1">
      <c r="B89" s="199" t="s">
        <v>477</v>
      </c>
      <c r="C89" s="199" t="s">
        <v>492</v>
      </c>
      <c r="E89" s="199" t="s">
        <v>489</v>
      </c>
      <c r="F89" s="211"/>
      <c r="G89" s="213">
        <f>G$81*G65*G$88</f>
        <v>5725.7873865645497</v>
      </c>
      <c r="H89" s="199" t="s">
        <v>486</v>
      </c>
    </row>
    <row r="90" spans="1:9" hidden="1">
      <c r="B90" s="199" t="s">
        <v>477</v>
      </c>
      <c r="E90" s="199" t="s">
        <v>490</v>
      </c>
      <c r="F90" s="211"/>
      <c r="G90" s="213">
        <f>G$84*G86*G$88</f>
        <v>2513.7603160527292</v>
      </c>
      <c r="H90" s="199" t="s">
        <v>486</v>
      </c>
    </row>
    <row r="91" spans="1:9">
      <c r="A91" s="211" t="s">
        <v>299</v>
      </c>
      <c r="B91" s="199" t="s">
        <v>465</v>
      </c>
    </row>
    <row r="92" spans="1:9">
      <c r="C92" s="199" t="s">
        <v>240</v>
      </c>
      <c r="D92" s="199" t="s">
        <v>241</v>
      </c>
      <c r="E92" s="199" t="s">
        <v>242</v>
      </c>
      <c r="F92" s="211"/>
      <c r="G92" s="199">
        <f>ROUND(G99/1000,0)</f>
        <v>92</v>
      </c>
      <c r="H92" s="199" t="s">
        <v>251</v>
      </c>
    </row>
    <row r="93" spans="1:9" hidden="1">
      <c r="B93" s="199" t="s">
        <v>477</v>
      </c>
      <c r="D93" s="199" t="s">
        <v>478</v>
      </c>
      <c r="G93" s="199">
        <f>G147</f>
        <v>190</v>
      </c>
      <c r="H93" s="199" t="s">
        <v>272</v>
      </c>
      <c r="I93" s="212"/>
    </row>
    <row r="94" spans="1:9" hidden="1">
      <c r="B94" s="199" t="s">
        <v>477</v>
      </c>
      <c r="D94" s="199" t="s">
        <v>479</v>
      </c>
      <c r="F94" s="211"/>
      <c r="G94" s="199">
        <v>10</v>
      </c>
      <c r="H94" s="199" t="s">
        <v>480</v>
      </c>
      <c r="I94" s="212"/>
    </row>
    <row r="95" spans="1:9" hidden="1">
      <c r="B95" s="199" t="s">
        <v>477</v>
      </c>
      <c r="F95" s="211"/>
      <c r="G95" s="199">
        <v>22</v>
      </c>
      <c r="H95" s="199" t="s">
        <v>481</v>
      </c>
      <c r="I95" s="212"/>
    </row>
    <row r="96" spans="1:9" hidden="1">
      <c r="B96" s="199" t="s">
        <v>477</v>
      </c>
      <c r="F96" s="211"/>
      <c r="G96" s="199">
        <v>5.5</v>
      </c>
      <c r="H96" s="199" t="s">
        <v>482</v>
      </c>
      <c r="I96" s="212" t="s">
        <v>488</v>
      </c>
    </row>
    <row r="97" spans="1:10" hidden="1">
      <c r="B97" s="199" t="s">
        <v>477</v>
      </c>
      <c r="F97" s="211"/>
      <c r="G97" s="213">
        <f>G94*G95*G96</f>
        <v>1210</v>
      </c>
      <c r="I97" s="212"/>
    </row>
    <row r="98" spans="1:10" hidden="1">
      <c r="B98" s="199" t="s">
        <v>477</v>
      </c>
      <c r="D98" s="199" t="s">
        <v>484</v>
      </c>
      <c r="F98" s="211"/>
      <c r="G98" s="438">
        <v>0.4</v>
      </c>
      <c r="I98" s="212"/>
    </row>
    <row r="99" spans="1:10" hidden="1">
      <c r="B99" s="199" t="s">
        <v>477</v>
      </c>
      <c r="D99" s="199" t="s">
        <v>485</v>
      </c>
      <c r="F99" s="211"/>
      <c r="G99" s="213">
        <f>G93*G97*G98</f>
        <v>91960</v>
      </c>
      <c r="H99" s="199" t="s">
        <v>486</v>
      </c>
      <c r="I99" s="212"/>
    </row>
    <row r="100" spans="1:10">
      <c r="C100" s="199" t="s">
        <v>247</v>
      </c>
      <c r="D100" s="199" t="s">
        <v>241</v>
      </c>
      <c r="E100" s="199" t="s">
        <v>248</v>
      </c>
      <c r="G100" s="199">
        <f>ROUND(G107/1000,0)</f>
        <v>31</v>
      </c>
      <c r="H100" s="199" t="s">
        <v>251</v>
      </c>
    </row>
    <row r="101" spans="1:10" hidden="1">
      <c r="B101" s="199" t="s">
        <v>477</v>
      </c>
      <c r="C101" s="199" t="s">
        <v>288</v>
      </c>
      <c r="F101" s="211"/>
      <c r="G101" s="199">
        <f>G149</f>
        <v>7.4</v>
      </c>
      <c r="H101" s="210" t="s">
        <v>272</v>
      </c>
      <c r="I101" s="199" t="s">
        <v>500</v>
      </c>
    </row>
    <row r="102" spans="1:10" hidden="1">
      <c r="B102" s="199" t="s">
        <v>477</v>
      </c>
      <c r="C102" s="199" t="s">
        <v>290</v>
      </c>
      <c r="F102" s="211"/>
      <c r="G102" s="199">
        <f>G154</f>
        <v>22</v>
      </c>
      <c r="H102" s="210" t="s">
        <v>272</v>
      </c>
    </row>
    <row r="103" spans="1:10" hidden="1">
      <c r="B103" s="199" t="s">
        <v>477</v>
      </c>
      <c r="C103" s="199" t="s">
        <v>292</v>
      </c>
      <c r="F103" s="211"/>
      <c r="G103" s="199">
        <f>G161</f>
        <v>15</v>
      </c>
      <c r="H103" s="210" t="s">
        <v>272</v>
      </c>
    </row>
    <row r="104" spans="1:10" hidden="1">
      <c r="B104" s="199" t="s">
        <v>477</v>
      </c>
      <c r="C104" s="199" t="s">
        <v>498</v>
      </c>
      <c r="G104" s="199">
        <f>SUM(G101:G103)</f>
        <v>44.4</v>
      </c>
      <c r="H104" s="210" t="s">
        <v>272</v>
      </c>
    </row>
    <row r="105" spans="1:10" hidden="1">
      <c r="B105" s="199" t="s">
        <v>477</v>
      </c>
      <c r="D105" s="199" t="s">
        <v>484</v>
      </c>
      <c r="G105" s="439">
        <v>0.4</v>
      </c>
    </row>
    <row r="106" spans="1:10" hidden="1">
      <c r="B106" s="199" t="s">
        <v>477</v>
      </c>
      <c r="D106" s="199" t="s">
        <v>491</v>
      </c>
      <c r="G106" s="441">
        <f>G105^0.6</f>
        <v>0.5770799623628855</v>
      </c>
    </row>
    <row r="107" spans="1:10" hidden="1">
      <c r="B107" s="199" t="s">
        <v>477</v>
      </c>
      <c r="C107" s="199" t="s">
        <v>492</v>
      </c>
      <c r="G107" s="213">
        <f>G104*G$106*G97</f>
        <v>31003.043897983662</v>
      </c>
      <c r="H107" s="210" t="s">
        <v>486</v>
      </c>
    </row>
    <row r="108" spans="1:10">
      <c r="B108" s="199" t="s">
        <v>267</v>
      </c>
    </row>
    <row r="109" spans="1:10">
      <c r="A109" s="199" t="s">
        <v>501</v>
      </c>
    </row>
    <row r="110" spans="1:10">
      <c r="A110" s="211" t="s">
        <v>502</v>
      </c>
      <c r="B110" s="199" t="s">
        <v>300</v>
      </c>
      <c r="I110" s="220" t="s">
        <v>503</v>
      </c>
      <c r="J110" s="220" t="s">
        <v>504</v>
      </c>
    </row>
    <row r="111" spans="1:10">
      <c r="A111" s="199" t="s">
        <v>477</v>
      </c>
      <c r="C111" s="199" t="s">
        <v>269</v>
      </c>
      <c r="E111" s="199" t="s">
        <v>270</v>
      </c>
      <c r="F111" s="211"/>
      <c r="G111" s="199">
        <v>100</v>
      </c>
      <c r="H111" s="199" t="s">
        <v>272</v>
      </c>
      <c r="I111" s="220" t="s">
        <v>505</v>
      </c>
      <c r="J111" s="220" t="s">
        <v>506</v>
      </c>
    </row>
    <row r="112" spans="1:10">
      <c r="A112" s="199" t="s">
        <v>477</v>
      </c>
      <c r="C112" s="199" t="s">
        <v>273</v>
      </c>
      <c r="E112" s="199" t="s">
        <v>274</v>
      </c>
      <c r="G112" s="199">
        <v>100</v>
      </c>
      <c r="H112" s="199" t="s">
        <v>272</v>
      </c>
      <c r="I112" s="211" t="s">
        <v>324</v>
      </c>
      <c r="J112" s="220" t="s">
        <v>507</v>
      </c>
    </row>
    <row r="113" spans="1:15">
      <c r="A113" s="199" t="s">
        <v>477</v>
      </c>
      <c r="C113" s="199" t="s">
        <v>322</v>
      </c>
      <c r="E113" s="199" t="s">
        <v>276</v>
      </c>
      <c r="G113" s="199">
        <v>32</v>
      </c>
      <c r="H113" s="199" t="s">
        <v>272</v>
      </c>
      <c r="I113" s="218">
        <f t="shared" ref="I113:I114" si="0">G111/G113</f>
        <v>3.125</v>
      </c>
    </row>
    <row r="114" spans="1:15">
      <c r="A114" s="199" t="s">
        <v>477</v>
      </c>
      <c r="C114" s="199" t="s">
        <v>323</v>
      </c>
      <c r="E114" s="199" t="s">
        <v>279</v>
      </c>
      <c r="G114" s="199">
        <v>27</v>
      </c>
      <c r="H114" s="199" t="s">
        <v>272</v>
      </c>
      <c r="I114" s="218">
        <f t="shared" si="0"/>
        <v>3.7037037037037037</v>
      </c>
    </row>
    <row r="115" spans="1:15">
      <c r="A115" s="199" t="s">
        <v>477</v>
      </c>
      <c r="C115" s="199" t="s">
        <v>284</v>
      </c>
      <c r="E115" s="199" t="s">
        <v>285</v>
      </c>
      <c r="G115" s="199">
        <v>4.5</v>
      </c>
    </row>
    <row r="116" spans="1:15">
      <c r="A116" s="211" t="s">
        <v>219</v>
      </c>
      <c r="B116" s="199" t="s">
        <v>302</v>
      </c>
    </row>
    <row r="117" spans="1:15">
      <c r="A117" s="199" t="s">
        <v>477</v>
      </c>
      <c r="C117" s="199" t="s">
        <v>269</v>
      </c>
      <c r="E117" s="199" t="s">
        <v>270</v>
      </c>
      <c r="F117" s="211"/>
      <c r="G117" s="213">
        <v>200</v>
      </c>
      <c r="H117" s="199" t="s">
        <v>272</v>
      </c>
    </row>
    <row r="118" spans="1:15">
      <c r="A118" s="199" t="s">
        <v>477</v>
      </c>
      <c r="C118" s="199" t="s">
        <v>273</v>
      </c>
      <c r="E118" s="199" t="s">
        <v>274</v>
      </c>
      <c r="G118" s="213">
        <v>230</v>
      </c>
      <c r="H118" s="199" t="s">
        <v>272</v>
      </c>
      <c r="I118" s="211" t="s">
        <v>324</v>
      </c>
    </row>
    <row r="119" spans="1:15">
      <c r="A119" s="199" t="s">
        <v>477</v>
      </c>
      <c r="C119" s="199" t="s">
        <v>322</v>
      </c>
      <c r="E119" s="199" t="s">
        <v>276</v>
      </c>
      <c r="G119" s="213">
        <v>76</v>
      </c>
      <c r="H119" s="199" t="s">
        <v>272</v>
      </c>
      <c r="I119" s="218">
        <f>G117/G119</f>
        <v>2.6315789473684212</v>
      </c>
    </row>
    <row r="120" spans="1:15">
      <c r="A120" s="199" t="s">
        <v>477</v>
      </c>
      <c r="C120" s="199" t="s">
        <v>323</v>
      </c>
      <c r="E120" s="199" t="s">
        <v>279</v>
      </c>
      <c r="G120" s="213">
        <v>75</v>
      </c>
      <c r="H120" s="199" t="s">
        <v>272</v>
      </c>
      <c r="I120" s="218">
        <f>G118/G120</f>
        <v>3.0666666666666669</v>
      </c>
    </row>
    <row r="121" spans="1:15">
      <c r="A121" s="199" t="s">
        <v>477</v>
      </c>
      <c r="B121" s="199" t="s">
        <v>477</v>
      </c>
      <c r="C121" s="199" t="s">
        <v>508</v>
      </c>
      <c r="E121" s="199" t="s">
        <v>509</v>
      </c>
      <c r="G121" s="442">
        <f>G117/(4.186*5)/1000</f>
        <v>9.5556617295747721E-3</v>
      </c>
      <c r="H121" s="199" t="s">
        <v>510</v>
      </c>
    </row>
    <row r="122" spans="1:15">
      <c r="A122" s="199" t="s">
        <v>477</v>
      </c>
      <c r="B122" s="199" t="s">
        <v>477</v>
      </c>
      <c r="D122" s="199" t="s">
        <v>511</v>
      </c>
      <c r="E122" s="199" t="s">
        <v>512</v>
      </c>
      <c r="G122" s="199">
        <v>20</v>
      </c>
      <c r="H122" s="199" t="s">
        <v>513</v>
      </c>
    </row>
    <row r="123" spans="1:15">
      <c r="A123" s="199" t="s">
        <v>477</v>
      </c>
      <c r="B123" s="199" t="s">
        <v>477</v>
      </c>
      <c r="D123" s="199" t="s">
        <v>514</v>
      </c>
      <c r="E123" s="199" t="s">
        <v>515</v>
      </c>
      <c r="G123" s="199">
        <v>0.7</v>
      </c>
      <c r="H123" s="199" t="s">
        <v>516</v>
      </c>
    </row>
    <row r="124" spans="1:15">
      <c r="A124" s="199" t="s">
        <v>477</v>
      </c>
      <c r="B124" s="199" t="s">
        <v>477</v>
      </c>
      <c r="D124" s="199" t="s">
        <v>517</v>
      </c>
      <c r="E124" s="199" t="s">
        <v>518</v>
      </c>
      <c r="G124" s="218">
        <f>9.81*G121*G122/G123</f>
        <v>2.6783154733465295</v>
      </c>
      <c r="H124" s="199" t="s">
        <v>272</v>
      </c>
    </row>
    <row r="125" spans="1:15">
      <c r="A125" s="199" t="s">
        <v>477</v>
      </c>
      <c r="C125" s="199" t="s">
        <v>292</v>
      </c>
      <c r="F125" s="210" t="s">
        <v>293</v>
      </c>
      <c r="G125" s="217">
        <v>3</v>
      </c>
      <c r="H125" s="210" t="s">
        <v>272</v>
      </c>
      <c r="J125" s="220" t="s">
        <v>519</v>
      </c>
    </row>
    <row r="126" spans="1:15">
      <c r="A126" s="211" t="s">
        <v>221</v>
      </c>
      <c r="B126" s="199" t="s">
        <v>304</v>
      </c>
    </row>
    <row r="127" spans="1:15">
      <c r="A127" s="199" t="s">
        <v>477</v>
      </c>
      <c r="C127" s="199" t="s">
        <v>269</v>
      </c>
      <c r="E127" s="199" t="s">
        <v>270</v>
      </c>
      <c r="F127" s="211"/>
      <c r="G127" s="213">
        <v>200</v>
      </c>
      <c r="H127" s="199" t="s">
        <v>272</v>
      </c>
      <c r="N127" s="211"/>
      <c r="O127" s="213"/>
    </row>
    <row r="128" spans="1:15">
      <c r="A128" s="199" t="s">
        <v>477</v>
      </c>
      <c r="C128" s="199" t="s">
        <v>273</v>
      </c>
      <c r="E128" s="199" t="s">
        <v>274</v>
      </c>
      <c r="G128" s="213">
        <v>230</v>
      </c>
      <c r="H128" s="199" t="s">
        <v>272</v>
      </c>
      <c r="I128" s="211" t="s">
        <v>324</v>
      </c>
    </row>
    <row r="129" spans="1:17">
      <c r="A129" s="199" t="s">
        <v>477</v>
      </c>
      <c r="C129" s="199" t="s">
        <v>322</v>
      </c>
      <c r="E129" s="199" t="s">
        <v>276</v>
      </c>
      <c r="G129" s="213">
        <v>46</v>
      </c>
      <c r="H129" s="199" t="s">
        <v>272</v>
      </c>
      <c r="I129" s="218">
        <f>G127/G129</f>
        <v>4.3478260869565215</v>
      </c>
    </row>
    <row r="130" spans="1:17">
      <c r="A130" s="199" t="s">
        <v>477</v>
      </c>
      <c r="C130" s="199" t="s">
        <v>323</v>
      </c>
      <c r="E130" s="199" t="s">
        <v>279</v>
      </c>
      <c r="G130" s="213">
        <v>55</v>
      </c>
      <c r="H130" s="199" t="s">
        <v>272</v>
      </c>
      <c r="I130" s="218">
        <f>G128/G130</f>
        <v>4.1818181818181817</v>
      </c>
      <c r="J130" s="199" t="s">
        <v>325</v>
      </c>
    </row>
    <row r="131" spans="1:17">
      <c r="A131" s="199" t="s">
        <v>477</v>
      </c>
      <c r="C131" s="199" t="s">
        <v>288</v>
      </c>
      <c r="F131" s="211" t="s">
        <v>289</v>
      </c>
      <c r="G131" s="443">
        <v>1.5</v>
      </c>
      <c r="H131" s="210" t="s">
        <v>272</v>
      </c>
      <c r="I131" s="199" t="s">
        <v>500</v>
      </c>
      <c r="J131" s="220" t="s">
        <v>520</v>
      </c>
      <c r="N131" s="211"/>
      <c r="P131" s="210"/>
      <c r="Q131" s="217"/>
    </row>
    <row r="132" spans="1:17">
      <c r="A132" s="199" t="s">
        <v>477</v>
      </c>
      <c r="B132" s="199" t="s">
        <v>477</v>
      </c>
      <c r="C132" s="199" t="s">
        <v>521</v>
      </c>
      <c r="D132" s="444">
        <f>G127*860/3024</f>
        <v>56.87830687830688</v>
      </c>
      <c r="E132" s="199" t="s">
        <v>522</v>
      </c>
      <c r="F132" s="199" t="s">
        <v>523</v>
      </c>
      <c r="G132" s="210"/>
      <c r="J132" s="220" t="s">
        <v>520</v>
      </c>
      <c r="L132" s="444"/>
      <c r="O132" s="210"/>
      <c r="Q132" s="217"/>
    </row>
    <row r="133" spans="1:17">
      <c r="A133" s="199" t="s">
        <v>477</v>
      </c>
      <c r="B133" s="199" t="s">
        <v>477</v>
      </c>
      <c r="D133" s="199" t="s">
        <v>524</v>
      </c>
      <c r="E133" s="199" t="s">
        <v>509</v>
      </c>
      <c r="F133" s="213">
        <v>39</v>
      </c>
      <c r="G133" s="199" t="s">
        <v>525</v>
      </c>
      <c r="H133" s="199">
        <f>F133/3600</f>
        <v>1.0833333333333334E-2</v>
      </c>
      <c r="I133" s="199" t="s">
        <v>510</v>
      </c>
      <c r="J133" s="220" t="s">
        <v>520</v>
      </c>
      <c r="N133" s="213"/>
      <c r="Q133" s="217"/>
    </row>
    <row r="134" spans="1:17">
      <c r="A134" s="199" t="s">
        <v>477</v>
      </c>
      <c r="B134" s="199" t="s">
        <v>477</v>
      </c>
      <c r="D134" s="199" t="s">
        <v>511</v>
      </c>
      <c r="E134" s="199" t="s">
        <v>512</v>
      </c>
      <c r="G134" s="199">
        <v>20</v>
      </c>
      <c r="H134" s="199" t="s">
        <v>513</v>
      </c>
      <c r="J134" s="220" t="s">
        <v>520</v>
      </c>
      <c r="Q134" s="217"/>
    </row>
    <row r="135" spans="1:17">
      <c r="A135" s="199" t="s">
        <v>477</v>
      </c>
      <c r="B135" s="199" t="s">
        <v>477</v>
      </c>
      <c r="D135" s="199" t="s">
        <v>514</v>
      </c>
      <c r="E135" s="199" t="s">
        <v>515</v>
      </c>
      <c r="G135" s="199">
        <v>0.7</v>
      </c>
      <c r="H135" s="199" t="s">
        <v>516</v>
      </c>
      <c r="J135" s="220" t="s">
        <v>520</v>
      </c>
      <c r="Q135" s="217"/>
    </row>
    <row r="136" spans="1:17">
      <c r="A136" s="199" t="s">
        <v>477</v>
      </c>
      <c r="B136" s="199" t="s">
        <v>477</v>
      </c>
      <c r="D136" s="199" t="s">
        <v>517</v>
      </c>
      <c r="E136" s="199" t="s">
        <v>518</v>
      </c>
      <c r="G136" s="218">
        <f>9.81*H133*G134/G135</f>
        <v>3.0364285714285719</v>
      </c>
      <c r="H136" s="199" t="s">
        <v>272</v>
      </c>
      <c r="J136" s="220" t="s">
        <v>520</v>
      </c>
      <c r="O136" s="218"/>
      <c r="Q136" s="217"/>
    </row>
    <row r="137" spans="1:17">
      <c r="A137" s="199" t="s">
        <v>477</v>
      </c>
      <c r="C137" s="199" t="s">
        <v>290</v>
      </c>
      <c r="F137" s="211" t="s">
        <v>291</v>
      </c>
      <c r="G137" s="199">
        <v>3.7</v>
      </c>
      <c r="H137" s="210" t="s">
        <v>272</v>
      </c>
      <c r="J137" s="220" t="s">
        <v>520</v>
      </c>
      <c r="N137" s="211"/>
      <c r="P137" s="210"/>
      <c r="Q137" s="217"/>
    </row>
    <row r="138" spans="1:17">
      <c r="A138" s="199" t="s">
        <v>477</v>
      </c>
      <c r="C138" s="199" t="s">
        <v>292</v>
      </c>
      <c r="F138" s="211" t="s">
        <v>293</v>
      </c>
      <c r="G138" s="217">
        <f>$G$125</f>
        <v>3</v>
      </c>
      <c r="H138" s="210" t="s">
        <v>272</v>
      </c>
      <c r="J138" s="220" t="s">
        <v>519</v>
      </c>
      <c r="N138" s="211"/>
      <c r="P138" s="210"/>
      <c r="Q138" s="217"/>
    </row>
    <row r="139" spans="1:17">
      <c r="A139" s="199" t="s">
        <v>477</v>
      </c>
      <c r="B139" s="199" t="s">
        <v>477</v>
      </c>
      <c r="C139" s="199" t="s">
        <v>526</v>
      </c>
      <c r="D139" s="445">
        <f>G128-G130</f>
        <v>175</v>
      </c>
      <c r="E139" s="199" t="s">
        <v>272</v>
      </c>
      <c r="G139" s="210"/>
      <c r="J139" s="220" t="s">
        <v>519</v>
      </c>
      <c r="L139" s="445"/>
      <c r="O139" s="210"/>
      <c r="Q139" s="217"/>
    </row>
    <row r="140" spans="1:17">
      <c r="A140" s="199" t="s">
        <v>477</v>
      </c>
      <c r="B140" s="199" t="s">
        <v>477</v>
      </c>
      <c r="D140" s="199" t="s">
        <v>524</v>
      </c>
      <c r="E140" s="199" t="s">
        <v>509</v>
      </c>
      <c r="F140" s="213"/>
      <c r="G140" s="199">
        <f>D139/(5*4.186)/1000</f>
        <v>8.3612040133779278E-3</v>
      </c>
      <c r="H140" s="199" t="s">
        <v>510</v>
      </c>
      <c r="J140" s="220" t="s">
        <v>519</v>
      </c>
      <c r="N140" s="213"/>
      <c r="Q140" s="217"/>
    </row>
    <row r="141" spans="1:17">
      <c r="A141" s="199" t="s">
        <v>477</v>
      </c>
      <c r="B141" s="199" t="s">
        <v>477</v>
      </c>
      <c r="D141" s="199" t="s">
        <v>511</v>
      </c>
      <c r="E141" s="199" t="s">
        <v>512</v>
      </c>
      <c r="G141" s="199">
        <v>20</v>
      </c>
      <c r="H141" s="199" t="s">
        <v>513</v>
      </c>
      <c r="J141" s="220" t="s">
        <v>519</v>
      </c>
      <c r="Q141" s="217"/>
    </row>
    <row r="142" spans="1:17">
      <c r="A142" s="199" t="s">
        <v>477</v>
      </c>
      <c r="B142" s="199" t="s">
        <v>477</v>
      </c>
      <c r="D142" s="199" t="s">
        <v>514</v>
      </c>
      <c r="E142" s="199" t="s">
        <v>515</v>
      </c>
      <c r="G142" s="199">
        <v>0.7</v>
      </c>
      <c r="H142" s="199" t="s">
        <v>516</v>
      </c>
      <c r="J142" s="220" t="s">
        <v>519</v>
      </c>
      <c r="Q142" s="217"/>
    </row>
    <row r="143" spans="1:17">
      <c r="A143" s="199" t="s">
        <v>477</v>
      </c>
      <c r="B143" s="199" t="s">
        <v>477</v>
      </c>
      <c r="D143" s="199" t="s">
        <v>517</v>
      </c>
      <c r="E143" s="199" t="s">
        <v>518</v>
      </c>
      <c r="G143" s="218">
        <f>9.81*G140*G141/G142</f>
        <v>2.3435260391782138</v>
      </c>
      <c r="H143" s="199" t="s">
        <v>272</v>
      </c>
      <c r="J143" s="220" t="s">
        <v>519</v>
      </c>
      <c r="O143" s="218"/>
      <c r="Q143" s="217"/>
    </row>
    <row r="144" spans="1:17">
      <c r="A144" s="199" t="s">
        <v>477</v>
      </c>
      <c r="C144" s="199" t="s">
        <v>326</v>
      </c>
      <c r="F144" s="211" t="s">
        <v>527</v>
      </c>
      <c r="G144" s="199">
        <v>3</v>
      </c>
      <c r="H144" s="210" t="s">
        <v>272</v>
      </c>
      <c r="J144" s="220" t="s">
        <v>528</v>
      </c>
      <c r="N144" s="211"/>
      <c r="P144" s="210"/>
      <c r="Q144" s="217"/>
    </row>
    <row r="145" spans="1:10">
      <c r="A145" s="211" t="s">
        <v>299</v>
      </c>
      <c r="B145" s="199" t="s">
        <v>306</v>
      </c>
      <c r="F145" s="211"/>
      <c r="G145" s="217"/>
    </row>
    <row r="146" spans="1:10">
      <c r="A146" s="199" t="s">
        <v>477</v>
      </c>
      <c r="C146" s="199" t="s">
        <v>269</v>
      </c>
      <c r="E146" s="199" t="s">
        <v>270</v>
      </c>
      <c r="F146" s="211"/>
      <c r="G146" s="213">
        <v>1000</v>
      </c>
      <c r="H146" s="199" t="s">
        <v>272</v>
      </c>
      <c r="I146" s="211" t="s">
        <v>324</v>
      </c>
    </row>
    <row r="147" spans="1:10">
      <c r="A147" s="199" t="s">
        <v>477</v>
      </c>
      <c r="C147" s="199" t="s">
        <v>322</v>
      </c>
      <c r="E147" s="199" t="s">
        <v>276</v>
      </c>
      <c r="G147" s="199">
        <v>190</v>
      </c>
      <c r="H147" s="199" t="s">
        <v>272</v>
      </c>
      <c r="I147" s="218">
        <f>G146/G147</f>
        <v>5.2631578947368425</v>
      </c>
    </row>
    <row r="148" spans="1:10">
      <c r="A148" s="199" t="s">
        <v>477</v>
      </c>
      <c r="B148" s="199" t="s">
        <v>477</v>
      </c>
      <c r="C148" s="199" t="s">
        <v>521</v>
      </c>
      <c r="D148" s="445">
        <f>G146</f>
        <v>1000</v>
      </c>
      <c r="E148" s="199" t="s">
        <v>529</v>
      </c>
      <c r="F148" s="213">
        <f>D148*860/3024</f>
        <v>284.39153439153438</v>
      </c>
      <c r="G148" s="210" t="s">
        <v>522</v>
      </c>
      <c r="H148" s="199">
        <v>300</v>
      </c>
      <c r="I148" s="199" t="s">
        <v>530</v>
      </c>
    </row>
    <row r="149" spans="1:10">
      <c r="A149" s="199" t="s">
        <v>477</v>
      </c>
      <c r="C149" s="199" t="s">
        <v>288</v>
      </c>
      <c r="F149" s="211" t="s">
        <v>289</v>
      </c>
      <c r="G149" s="199">
        <f>3.7*2</f>
        <v>7.4</v>
      </c>
      <c r="H149" s="210" t="s">
        <v>272</v>
      </c>
      <c r="I149" s="199" t="s">
        <v>500</v>
      </c>
      <c r="J149" s="220" t="s">
        <v>520</v>
      </c>
    </row>
    <row r="150" spans="1:10">
      <c r="A150" s="199" t="s">
        <v>477</v>
      </c>
      <c r="B150" s="199" t="s">
        <v>477</v>
      </c>
      <c r="D150" s="199" t="s">
        <v>524</v>
      </c>
      <c r="E150" s="199" t="s">
        <v>509</v>
      </c>
      <c r="F150" s="213">
        <v>234</v>
      </c>
      <c r="G150" s="199">
        <f>F150/3600</f>
        <v>6.5000000000000002E-2</v>
      </c>
      <c r="H150" s="199" t="s">
        <v>510</v>
      </c>
      <c r="I150" s="199" t="s">
        <v>500</v>
      </c>
      <c r="J150" s="220" t="s">
        <v>520</v>
      </c>
    </row>
    <row r="151" spans="1:10">
      <c r="A151" s="199" t="s">
        <v>477</v>
      </c>
      <c r="D151" s="199" t="s">
        <v>511</v>
      </c>
      <c r="E151" s="199" t="s">
        <v>512</v>
      </c>
      <c r="G151" s="199">
        <v>20</v>
      </c>
      <c r="H151" s="199" t="s">
        <v>513</v>
      </c>
      <c r="J151" s="220" t="s">
        <v>520</v>
      </c>
    </row>
    <row r="152" spans="1:10">
      <c r="A152" s="199" t="s">
        <v>477</v>
      </c>
      <c r="D152" s="199" t="s">
        <v>514</v>
      </c>
      <c r="E152" s="199" t="s">
        <v>515</v>
      </c>
      <c r="G152" s="199">
        <v>0.7</v>
      </c>
      <c r="H152" s="199" t="s">
        <v>516</v>
      </c>
      <c r="J152" s="220" t="s">
        <v>520</v>
      </c>
    </row>
    <row r="153" spans="1:10">
      <c r="A153" s="199" t="s">
        <v>477</v>
      </c>
      <c r="D153" s="199" t="s">
        <v>517</v>
      </c>
      <c r="E153" s="199" t="s">
        <v>518</v>
      </c>
      <c r="G153" s="217">
        <f>9.81*G150*G151/G152</f>
        <v>18.21857142857143</v>
      </c>
      <c r="H153" s="199" t="s">
        <v>272</v>
      </c>
      <c r="J153" s="220" t="s">
        <v>520</v>
      </c>
    </row>
    <row r="154" spans="1:10">
      <c r="A154" s="199" t="s">
        <v>477</v>
      </c>
      <c r="C154" s="199" t="s">
        <v>290</v>
      </c>
      <c r="F154" s="211" t="s">
        <v>291</v>
      </c>
      <c r="G154" s="199">
        <v>22</v>
      </c>
      <c r="H154" s="210" t="s">
        <v>272</v>
      </c>
      <c r="J154" s="220" t="s">
        <v>520</v>
      </c>
    </row>
    <row r="155" spans="1:10">
      <c r="A155" s="199" t="s">
        <v>477</v>
      </c>
      <c r="B155" s="199" t="s">
        <v>477</v>
      </c>
      <c r="C155" s="199" t="s">
        <v>521</v>
      </c>
      <c r="D155" s="444">
        <f>G146*860/3024</f>
        <v>284.39153439153438</v>
      </c>
      <c r="E155" s="199" t="s">
        <v>522</v>
      </c>
      <c r="F155" s="199" t="s">
        <v>531</v>
      </c>
      <c r="G155" s="210"/>
      <c r="J155" s="220" t="s">
        <v>520</v>
      </c>
    </row>
    <row r="156" spans="1:10">
      <c r="A156" s="199" t="s">
        <v>477</v>
      </c>
      <c r="B156" s="199" t="s">
        <v>477</v>
      </c>
      <c r="C156" s="199" t="s">
        <v>532</v>
      </c>
      <c r="D156" s="444"/>
      <c r="F156" s="436">
        <f>G146</f>
        <v>1000</v>
      </c>
      <c r="G156" s="210" t="s">
        <v>272</v>
      </c>
      <c r="J156" s="220" t="s">
        <v>520</v>
      </c>
    </row>
    <row r="157" spans="1:10">
      <c r="A157" s="199" t="s">
        <v>477</v>
      </c>
      <c r="B157" s="199" t="s">
        <v>477</v>
      </c>
      <c r="D157" s="199" t="s">
        <v>524</v>
      </c>
      <c r="E157" s="199" t="s">
        <v>509</v>
      </c>
      <c r="F157" s="213"/>
      <c r="G157" s="219">
        <f>F156/(5*4.186)/1000</f>
        <v>4.7778308647873864E-2</v>
      </c>
      <c r="H157" s="199" t="s">
        <v>510</v>
      </c>
      <c r="J157" s="220" t="s">
        <v>520</v>
      </c>
    </row>
    <row r="158" spans="1:10">
      <c r="A158" s="199" t="s">
        <v>477</v>
      </c>
      <c r="B158" s="199" t="s">
        <v>477</v>
      </c>
      <c r="D158" s="199" t="s">
        <v>511</v>
      </c>
      <c r="E158" s="199" t="s">
        <v>512</v>
      </c>
      <c r="G158" s="199">
        <v>20</v>
      </c>
      <c r="H158" s="199" t="s">
        <v>513</v>
      </c>
      <c r="J158" s="220" t="s">
        <v>520</v>
      </c>
    </row>
    <row r="159" spans="1:10">
      <c r="A159" s="199" t="s">
        <v>477</v>
      </c>
      <c r="B159" s="199" t="s">
        <v>477</v>
      </c>
      <c r="D159" s="199" t="s">
        <v>514</v>
      </c>
      <c r="E159" s="199" t="s">
        <v>515</v>
      </c>
      <c r="G159" s="199">
        <v>0.7</v>
      </c>
      <c r="H159" s="199" t="s">
        <v>516</v>
      </c>
      <c r="J159" s="220" t="s">
        <v>520</v>
      </c>
    </row>
    <row r="160" spans="1:10">
      <c r="A160" s="199" t="s">
        <v>477</v>
      </c>
      <c r="B160" s="199" t="s">
        <v>477</v>
      </c>
      <c r="D160" s="199" t="s">
        <v>517</v>
      </c>
      <c r="E160" s="199" t="s">
        <v>518</v>
      </c>
      <c r="G160" s="217">
        <f>9.81*G157*G158/G159</f>
        <v>13.391577366732648</v>
      </c>
      <c r="H160" s="199" t="s">
        <v>272</v>
      </c>
      <c r="J160" s="220" t="s">
        <v>520</v>
      </c>
    </row>
    <row r="161" spans="1:10">
      <c r="A161" s="199" t="s">
        <v>477</v>
      </c>
      <c r="C161" s="199" t="s">
        <v>292</v>
      </c>
      <c r="F161" s="211" t="s">
        <v>293</v>
      </c>
      <c r="G161" s="199">
        <v>15</v>
      </c>
      <c r="H161" s="210" t="s">
        <v>272</v>
      </c>
      <c r="J161" s="220" t="s">
        <v>520</v>
      </c>
    </row>
    <row r="162" spans="1:10" ht="37.5">
      <c r="A162" s="211"/>
      <c r="B162" s="201" t="s">
        <v>533</v>
      </c>
      <c r="C162" s="201"/>
      <c r="D162" s="201"/>
      <c r="E162" s="201"/>
      <c r="F162" s="224" t="s">
        <v>534</v>
      </c>
      <c r="G162" s="224" t="s">
        <v>535</v>
      </c>
      <c r="H162" s="224" t="s">
        <v>536</v>
      </c>
      <c r="I162" s="224" t="s">
        <v>537</v>
      </c>
      <c r="J162" s="224" t="s">
        <v>538</v>
      </c>
    </row>
    <row r="163" spans="1:10">
      <c r="B163" s="201" t="s">
        <v>269</v>
      </c>
      <c r="C163" s="201"/>
      <c r="D163" s="201" t="s">
        <v>270</v>
      </c>
      <c r="E163" s="201" t="s">
        <v>272</v>
      </c>
      <c r="F163" s="201">
        <f>G111</f>
        <v>100</v>
      </c>
      <c r="G163" s="201">
        <f>F163</f>
        <v>100</v>
      </c>
      <c r="H163" s="214">
        <f>G117</f>
        <v>200</v>
      </c>
      <c r="I163" s="214">
        <f>G127</f>
        <v>200</v>
      </c>
      <c r="J163" s="214">
        <f>G146</f>
        <v>1000</v>
      </c>
    </row>
    <row r="164" spans="1:10">
      <c r="A164" s="211"/>
      <c r="B164" s="201" t="s">
        <v>273</v>
      </c>
      <c r="C164" s="201"/>
      <c r="D164" s="201" t="s">
        <v>274</v>
      </c>
      <c r="E164" s="201" t="s">
        <v>272</v>
      </c>
      <c r="F164" s="201">
        <f t="shared" ref="F164:F166" si="1">G112</f>
        <v>100</v>
      </c>
      <c r="G164" s="209" t="s">
        <v>539</v>
      </c>
      <c r="H164" s="214">
        <f t="shared" ref="H164:H166" si="2">G118</f>
        <v>230</v>
      </c>
      <c r="I164" s="214">
        <f t="shared" ref="I164:I166" si="3">G128</f>
        <v>230</v>
      </c>
      <c r="J164" s="201"/>
    </row>
    <row r="165" spans="1:10">
      <c r="A165" s="211"/>
      <c r="B165" s="201" t="s">
        <v>322</v>
      </c>
      <c r="C165" s="201"/>
      <c r="D165" s="201" t="s">
        <v>276</v>
      </c>
      <c r="E165" s="201" t="s">
        <v>272</v>
      </c>
      <c r="F165" s="201">
        <f t="shared" si="1"/>
        <v>32</v>
      </c>
      <c r="G165" s="209" t="s">
        <v>348</v>
      </c>
      <c r="H165" s="214">
        <f t="shared" si="2"/>
        <v>76</v>
      </c>
      <c r="I165" s="214">
        <f>G129</f>
        <v>46</v>
      </c>
      <c r="J165" s="201">
        <f>G147</f>
        <v>190</v>
      </c>
    </row>
    <row r="166" spans="1:10">
      <c r="A166" s="211"/>
      <c r="B166" s="201" t="s">
        <v>323</v>
      </c>
      <c r="C166" s="201"/>
      <c r="D166" s="201" t="s">
        <v>279</v>
      </c>
      <c r="E166" s="201" t="s">
        <v>272</v>
      </c>
      <c r="F166" s="201">
        <f t="shared" si="1"/>
        <v>27</v>
      </c>
      <c r="G166" s="201"/>
      <c r="H166" s="214">
        <f t="shared" si="2"/>
        <v>75</v>
      </c>
      <c r="I166" s="214">
        <f t="shared" si="3"/>
        <v>55</v>
      </c>
      <c r="J166" s="201"/>
    </row>
    <row r="167" spans="1:10">
      <c r="A167" s="211"/>
      <c r="B167" s="201" t="s">
        <v>288</v>
      </c>
      <c r="C167" s="201"/>
      <c r="D167" s="201"/>
      <c r="E167" s="227" t="s">
        <v>289</v>
      </c>
      <c r="F167" s="201"/>
      <c r="G167" s="201"/>
      <c r="H167" s="201"/>
      <c r="I167" s="446">
        <f>G131</f>
        <v>1.5</v>
      </c>
      <c r="J167" s="447">
        <f>G149</f>
        <v>7.4</v>
      </c>
    </row>
    <row r="168" spans="1:10">
      <c r="A168" s="211"/>
      <c r="B168" s="201" t="s">
        <v>290</v>
      </c>
      <c r="C168" s="201"/>
      <c r="D168" s="201"/>
      <c r="E168" s="227" t="s">
        <v>291</v>
      </c>
      <c r="F168" s="201"/>
      <c r="G168" s="201"/>
      <c r="H168" s="201"/>
      <c r="I168" s="447">
        <f>G137</f>
        <v>3.7</v>
      </c>
      <c r="J168" s="447">
        <f>G154</f>
        <v>22</v>
      </c>
    </row>
    <row r="169" spans="1:10">
      <c r="A169" s="211"/>
      <c r="B169" s="201" t="s">
        <v>292</v>
      </c>
      <c r="C169" s="201"/>
      <c r="D169" s="201"/>
      <c r="E169" s="227" t="s">
        <v>293</v>
      </c>
      <c r="F169" s="201"/>
      <c r="G169" s="201"/>
      <c r="H169" s="230">
        <f>G125</f>
        <v>3</v>
      </c>
      <c r="I169" s="448">
        <f>G138</f>
        <v>3</v>
      </c>
      <c r="J169" s="201">
        <f>G161</f>
        <v>15</v>
      </c>
    </row>
    <row r="170" spans="1:10">
      <c r="A170" s="211"/>
      <c r="B170" s="201" t="s">
        <v>326</v>
      </c>
      <c r="C170" s="201"/>
      <c r="D170" s="201"/>
      <c r="E170" s="227" t="s">
        <v>527</v>
      </c>
      <c r="F170" s="201"/>
      <c r="G170" s="201"/>
      <c r="H170" s="201"/>
      <c r="I170" s="449">
        <f>G144</f>
        <v>3</v>
      </c>
      <c r="J170" s="201"/>
    </row>
    <row r="171" spans="1:10">
      <c r="B171" s="201" t="s">
        <v>284</v>
      </c>
      <c r="C171" s="201"/>
      <c r="D171" s="201" t="s">
        <v>285</v>
      </c>
      <c r="E171" s="201"/>
      <c r="F171" s="201"/>
      <c r="G171" s="201">
        <f>G115</f>
        <v>4.5</v>
      </c>
      <c r="H171" s="201"/>
      <c r="I171" s="201"/>
      <c r="J171" s="201"/>
    </row>
    <row r="172" spans="1:10" hidden="1">
      <c r="B172" s="199" t="s">
        <v>477</v>
      </c>
      <c r="C172" s="199" t="s">
        <v>540</v>
      </c>
    </row>
    <row r="173" spans="1:10" hidden="1">
      <c r="B173" s="199" t="s">
        <v>477</v>
      </c>
      <c r="C173" s="201"/>
      <c r="D173" s="209" t="s">
        <v>541</v>
      </c>
      <c r="E173" s="209" t="s">
        <v>542</v>
      </c>
      <c r="F173" s="209" t="s">
        <v>543</v>
      </c>
      <c r="G173" s="209" t="s">
        <v>544</v>
      </c>
      <c r="H173" s="209" t="s">
        <v>324</v>
      </c>
      <c r="I173" s="209" t="s">
        <v>545</v>
      </c>
    </row>
    <row r="174" spans="1:10" hidden="1">
      <c r="B174" s="199" t="s">
        <v>477</v>
      </c>
      <c r="C174" s="201"/>
      <c r="D174" s="209" t="s">
        <v>546</v>
      </c>
      <c r="E174" s="209" t="s">
        <v>546</v>
      </c>
      <c r="F174" s="209" t="s">
        <v>272</v>
      </c>
      <c r="G174" s="209" t="s">
        <v>272</v>
      </c>
      <c r="H174" s="225" t="s">
        <v>350</v>
      </c>
      <c r="I174" s="225" t="s">
        <v>350</v>
      </c>
    </row>
    <row r="175" spans="1:10" hidden="1">
      <c r="B175" s="199" t="s">
        <v>477</v>
      </c>
      <c r="C175" s="206" t="s">
        <v>547</v>
      </c>
      <c r="D175" s="201">
        <v>7</v>
      </c>
      <c r="E175" s="450">
        <v>32</v>
      </c>
      <c r="F175" s="208">
        <v>74.48</v>
      </c>
      <c r="G175" s="208">
        <v>19.25</v>
      </c>
      <c r="H175" s="208">
        <f>F175/G175</f>
        <v>3.8690909090909091</v>
      </c>
      <c r="I175" s="208">
        <f>(D175+273)/(E175-D175)</f>
        <v>11.2</v>
      </c>
    </row>
    <row r="176" spans="1:10" hidden="1">
      <c r="B176" s="199" t="s">
        <v>477</v>
      </c>
      <c r="C176" s="206" t="s">
        <v>548</v>
      </c>
      <c r="D176" s="201">
        <v>7</v>
      </c>
      <c r="E176" s="450">
        <v>30</v>
      </c>
      <c r="F176" s="208">
        <v>76.099999999999994</v>
      </c>
      <c r="G176" s="208">
        <v>18.48</v>
      </c>
      <c r="H176" s="208">
        <f>F176/G176</f>
        <v>4.1179653679653674</v>
      </c>
      <c r="I176" s="208">
        <f>(D176+273)/(E176-D176)</f>
        <v>12.173913043478262</v>
      </c>
    </row>
    <row r="177" spans="1:10" hidden="1">
      <c r="B177" s="199" t="s">
        <v>477</v>
      </c>
      <c r="C177" s="206" t="s">
        <v>549</v>
      </c>
      <c r="D177" s="201"/>
      <c r="E177" s="201"/>
      <c r="F177" s="231">
        <f>F175/F176</f>
        <v>0.97871222076215514</v>
      </c>
      <c r="G177" s="231">
        <f>G175/G176</f>
        <v>1.0416666666666667</v>
      </c>
      <c r="H177" s="451">
        <f>H175/H176</f>
        <v>0.93956373193166898</v>
      </c>
      <c r="I177" s="451">
        <f>ROUND(I175/I176,2)</f>
        <v>0.92</v>
      </c>
    </row>
    <row r="178" spans="1:10">
      <c r="B178" s="199" t="s">
        <v>297</v>
      </c>
    </row>
    <row r="179" spans="1:10">
      <c r="A179" s="199" t="s">
        <v>550</v>
      </c>
    </row>
    <row r="180" spans="1:10">
      <c r="A180" s="211" t="s">
        <v>217</v>
      </c>
      <c r="B180" s="199" t="s">
        <v>300</v>
      </c>
    </row>
    <row r="181" spans="1:10">
      <c r="A181" s="211" t="s">
        <v>219</v>
      </c>
      <c r="B181" s="199" t="s">
        <v>302</v>
      </c>
    </row>
    <row r="182" spans="1:10">
      <c r="A182" s="211" t="s">
        <v>221</v>
      </c>
      <c r="B182" s="199" t="s">
        <v>304</v>
      </c>
    </row>
    <row r="183" spans="1:10">
      <c r="A183" s="211" t="s">
        <v>299</v>
      </c>
      <c r="B183" s="199" t="s">
        <v>306</v>
      </c>
      <c r="E183" s="211"/>
    </row>
    <row r="184" spans="1:10">
      <c r="B184" s="199" t="s">
        <v>307</v>
      </c>
    </row>
    <row r="185" spans="1:10">
      <c r="A185" s="199" t="s">
        <v>551</v>
      </c>
    </row>
    <row r="186" spans="1:10" ht="37.5">
      <c r="A186" s="211"/>
      <c r="B186" s="201" t="s">
        <v>552</v>
      </c>
      <c r="C186" s="201"/>
      <c r="D186" s="201"/>
      <c r="E186" s="201"/>
      <c r="F186" s="224" t="s">
        <v>534</v>
      </c>
      <c r="G186" s="224" t="s">
        <v>535</v>
      </c>
      <c r="H186" s="224" t="s">
        <v>536</v>
      </c>
      <c r="I186" s="224" t="s">
        <v>537</v>
      </c>
      <c r="J186" s="224" t="s">
        <v>538</v>
      </c>
    </row>
    <row r="187" spans="1:10">
      <c r="B187" s="201" t="s">
        <v>269</v>
      </c>
      <c r="C187" s="201"/>
      <c r="D187" s="201" t="s">
        <v>308</v>
      </c>
      <c r="E187" s="201" t="s">
        <v>272</v>
      </c>
      <c r="F187" s="201">
        <v>100</v>
      </c>
      <c r="G187" s="201">
        <f>F187</f>
        <v>100</v>
      </c>
      <c r="H187" s="214">
        <v>200</v>
      </c>
      <c r="I187" s="214">
        <v>200</v>
      </c>
      <c r="J187" s="214">
        <v>1000</v>
      </c>
    </row>
    <row r="188" spans="1:10">
      <c r="A188" s="211"/>
      <c r="B188" s="201" t="s">
        <v>273</v>
      </c>
      <c r="C188" s="201"/>
      <c r="D188" s="201" t="s">
        <v>309</v>
      </c>
      <c r="E188" s="201" t="s">
        <v>272</v>
      </c>
      <c r="F188" s="201">
        <v>120</v>
      </c>
      <c r="G188" s="209" t="s">
        <v>539</v>
      </c>
      <c r="H188" s="214">
        <v>230</v>
      </c>
      <c r="I188" s="214">
        <v>230</v>
      </c>
      <c r="J188" s="201"/>
    </row>
    <row r="189" spans="1:10">
      <c r="A189" s="211"/>
      <c r="B189" s="201" t="s">
        <v>322</v>
      </c>
      <c r="C189" s="201"/>
      <c r="D189" s="201" t="s">
        <v>310</v>
      </c>
      <c r="E189" s="201" t="s">
        <v>272</v>
      </c>
      <c r="F189" s="201">
        <v>30</v>
      </c>
      <c r="G189" s="209" t="s">
        <v>348</v>
      </c>
      <c r="H189" s="214">
        <v>73</v>
      </c>
      <c r="I189" s="214">
        <v>44</v>
      </c>
      <c r="J189" s="201">
        <v>165</v>
      </c>
    </row>
    <row r="190" spans="1:10">
      <c r="A190" s="211"/>
      <c r="B190" s="201" t="s">
        <v>323</v>
      </c>
      <c r="C190" s="201"/>
      <c r="D190" s="201" t="s">
        <v>311</v>
      </c>
      <c r="E190" s="201" t="s">
        <v>272</v>
      </c>
      <c r="F190" s="201">
        <v>30</v>
      </c>
      <c r="G190" s="201"/>
      <c r="H190" s="214">
        <v>70</v>
      </c>
      <c r="I190" s="214">
        <v>54</v>
      </c>
      <c r="J190" s="201"/>
    </row>
    <row r="191" spans="1:10">
      <c r="A191" s="211"/>
      <c r="B191" s="201" t="s">
        <v>288</v>
      </c>
      <c r="C191" s="201"/>
      <c r="D191" s="201"/>
      <c r="E191" s="227" t="s">
        <v>553</v>
      </c>
      <c r="F191" s="201"/>
      <c r="G191" s="201"/>
      <c r="H191" s="201"/>
      <c r="I191" s="446">
        <v>1.5</v>
      </c>
      <c r="J191" s="447">
        <v>7.4</v>
      </c>
    </row>
    <row r="192" spans="1:10">
      <c r="A192" s="211"/>
      <c r="B192" s="201" t="s">
        <v>290</v>
      </c>
      <c r="C192" s="201"/>
      <c r="D192" s="201"/>
      <c r="E192" s="227" t="s">
        <v>317</v>
      </c>
      <c r="F192" s="201"/>
      <c r="G192" s="201"/>
      <c r="H192" s="201"/>
      <c r="I192" s="446">
        <v>3.7</v>
      </c>
      <c r="J192" s="447">
        <v>22</v>
      </c>
    </row>
    <row r="193" spans="1:10">
      <c r="A193" s="211"/>
      <c r="B193" s="201" t="s">
        <v>292</v>
      </c>
      <c r="C193" s="201"/>
      <c r="D193" s="201"/>
      <c r="E193" s="227" t="s">
        <v>318</v>
      </c>
      <c r="F193" s="201"/>
      <c r="G193" s="201"/>
      <c r="H193" s="201">
        <v>3</v>
      </c>
      <c r="I193" s="214">
        <v>3</v>
      </c>
      <c r="J193" s="448">
        <v>15</v>
      </c>
    </row>
    <row r="194" spans="1:10">
      <c r="A194" s="211"/>
      <c r="B194" s="201" t="s">
        <v>326</v>
      </c>
      <c r="C194" s="201"/>
      <c r="D194" s="201"/>
      <c r="E194" s="227" t="s">
        <v>327</v>
      </c>
      <c r="F194" s="201"/>
      <c r="G194" s="201"/>
      <c r="H194" s="201"/>
      <c r="I194" s="452">
        <v>3</v>
      </c>
      <c r="J194" s="201"/>
    </row>
    <row r="195" spans="1:10">
      <c r="B195" s="201" t="s">
        <v>284</v>
      </c>
      <c r="C195" s="201"/>
      <c r="D195" s="201" t="s">
        <v>314</v>
      </c>
      <c r="E195" s="201" t="s">
        <v>554</v>
      </c>
      <c r="F195" s="201"/>
      <c r="G195" s="201">
        <v>5.5</v>
      </c>
      <c r="H195" s="201"/>
      <c r="I195" s="201"/>
      <c r="J195" s="201"/>
    </row>
    <row r="196" spans="1:10">
      <c r="B196" s="201" t="s">
        <v>555</v>
      </c>
      <c r="C196" s="201"/>
      <c r="D196" s="201" t="s">
        <v>556</v>
      </c>
      <c r="E196" s="453" t="s">
        <v>557</v>
      </c>
      <c r="F196" s="454"/>
      <c r="G196" s="454"/>
      <c r="H196" s="455"/>
      <c r="I196" s="454"/>
      <c r="J196" s="454"/>
    </row>
    <row r="197" spans="1:10">
      <c r="A197" s="211"/>
      <c r="B197" s="211" t="s">
        <v>558</v>
      </c>
      <c r="C197" s="211" t="s">
        <v>494</v>
      </c>
      <c r="D197" s="211" t="s">
        <v>559</v>
      </c>
      <c r="E197" s="210" t="s">
        <v>560</v>
      </c>
    </row>
    <row r="198" spans="1:10">
      <c r="A198" s="211"/>
      <c r="D198" s="211" t="s">
        <v>561</v>
      </c>
      <c r="E198" s="210" t="s">
        <v>562</v>
      </c>
    </row>
    <row r="199" spans="1:10">
      <c r="A199" s="211"/>
      <c r="D199" s="211" t="s">
        <v>563</v>
      </c>
      <c r="E199" s="210" t="s">
        <v>564</v>
      </c>
    </row>
    <row r="200" spans="1:10">
      <c r="A200" s="211"/>
      <c r="B200" s="211" t="s">
        <v>565</v>
      </c>
      <c r="C200" s="233" t="s">
        <v>566</v>
      </c>
      <c r="D200" s="211"/>
      <c r="E200" s="210"/>
    </row>
    <row r="201" spans="1:10">
      <c r="A201" s="211"/>
      <c r="B201" s="456" t="s">
        <v>567</v>
      </c>
      <c r="C201" s="199" t="s">
        <v>568</v>
      </c>
      <c r="D201" s="211"/>
      <c r="E201" s="210"/>
    </row>
    <row r="202" spans="1:10">
      <c r="A202" s="211"/>
      <c r="B202" s="211"/>
      <c r="C202" s="199" t="s">
        <v>569</v>
      </c>
      <c r="D202" s="211"/>
      <c r="E202" s="210"/>
    </row>
    <row r="203" spans="1:10">
      <c r="A203" s="211"/>
      <c r="B203" s="211"/>
      <c r="C203" s="199" t="s">
        <v>570</v>
      </c>
      <c r="D203" s="211"/>
      <c r="E203" s="210"/>
    </row>
    <row r="204" spans="1:10">
      <c r="B204" s="199" t="s">
        <v>328</v>
      </c>
      <c r="E204" s="211"/>
    </row>
    <row r="205" spans="1:10">
      <c r="A205" s="199" t="s">
        <v>571</v>
      </c>
      <c r="E205" s="211"/>
    </row>
    <row r="206" spans="1:10">
      <c r="A206" s="211"/>
      <c r="B206" s="199" t="s">
        <v>572</v>
      </c>
      <c r="C206" s="199">
        <v>25</v>
      </c>
      <c r="D206" s="199" t="s">
        <v>236</v>
      </c>
    </row>
    <row r="207" spans="1:10">
      <c r="B207" s="199" t="s">
        <v>573</v>
      </c>
    </row>
    <row r="208" spans="1:10">
      <c r="A208" s="210" t="s">
        <v>574</v>
      </c>
    </row>
    <row r="209" spans="1:10">
      <c r="A209" s="210"/>
      <c r="B209" s="199" t="s">
        <v>337</v>
      </c>
    </row>
    <row r="210" spans="1:10">
      <c r="A210" s="210"/>
      <c r="B210" s="201" t="s">
        <v>339</v>
      </c>
      <c r="C210" s="201"/>
      <c r="D210" s="201">
        <v>0.40799999999999997</v>
      </c>
      <c r="E210" s="201" t="s">
        <v>575</v>
      </c>
      <c r="F210" s="201"/>
      <c r="G210" s="201"/>
    </row>
    <row r="211" spans="1:10">
      <c r="A211" s="210"/>
    </row>
    <row r="212" spans="1:10">
      <c r="B212" s="199" t="s">
        <v>576</v>
      </c>
    </row>
    <row r="213" spans="1:10">
      <c r="B213" s="199" t="s">
        <v>577</v>
      </c>
    </row>
    <row r="214" spans="1:10">
      <c r="B214" s="199" t="s">
        <v>578</v>
      </c>
    </row>
    <row r="215" spans="1:10">
      <c r="A215" s="210"/>
      <c r="C215" s="211" t="s">
        <v>579</v>
      </c>
      <c r="D215" s="218">
        <f>ROUND(((7+273)/(32-7))/((7+273)/(30-7)),2)</f>
        <v>0.92</v>
      </c>
      <c r="E215" s="199" t="s">
        <v>580</v>
      </c>
    </row>
    <row r="216" spans="1:10">
      <c r="A216" s="210"/>
      <c r="C216" s="211" t="s">
        <v>532</v>
      </c>
      <c r="D216" s="199">
        <v>1</v>
      </c>
      <c r="E216" s="199" t="s">
        <v>581</v>
      </c>
    </row>
    <row r="217" spans="1:10">
      <c r="A217" s="210"/>
    </row>
    <row r="218" spans="1:10">
      <c r="B218" s="199" t="s">
        <v>342</v>
      </c>
    </row>
    <row r="219" spans="1:10" ht="37.5">
      <c r="B219" s="1237" t="s">
        <v>343</v>
      </c>
      <c r="C219" s="1238"/>
      <c r="D219" s="1238"/>
      <c r="E219" s="1239"/>
      <c r="F219" s="209" t="s">
        <v>300</v>
      </c>
      <c r="G219" s="224" t="s">
        <v>370</v>
      </c>
      <c r="H219" s="224" t="s">
        <v>582</v>
      </c>
      <c r="I219" s="224" t="s">
        <v>583</v>
      </c>
      <c r="J219" s="209" t="s">
        <v>465</v>
      </c>
    </row>
    <row r="220" spans="1:10">
      <c r="B220" s="201" t="s">
        <v>346</v>
      </c>
      <c r="C220" s="201"/>
      <c r="D220" s="201" t="s">
        <v>270</v>
      </c>
      <c r="E220" s="209" t="s">
        <v>272</v>
      </c>
      <c r="F220" s="209">
        <f>G111</f>
        <v>100</v>
      </c>
      <c r="G220" s="209" t="s">
        <v>347</v>
      </c>
      <c r="H220" s="454">
        <f>G117</f>
        <v>200</v>
      </c>
      <c r="I220" s="454">
        <f>G127</f>
        <v>200</v>
      </c>
      <c r="J220" s="454">
        <f>G146</f>
        <v>1000</v>
      </c>
    </row>
    <row r="221" spans="1:10">
      <c r="B221" s="201" t="s">
        <v>273</v>
      </c>
      <c r="C221" s="201"/>
      <c r="D221" s="201" t="s">
        <v>274</v>
      </c>
      <c r="E221" s="209" t="s">
        <v>272</v>
      </c>
      <c r="F221" s="209">
        <f t="shared" ref="F221:F223" si="4">G112</f>
        <v>100</v>
      </c>
      <c r="G221" s="209" t="s">
        <v>348</v>
      </c>
      <c r="H221" s="454">
        <f t="shared" ref="H221:H223" si="5">G118</f>
        <v>230</v>
      </c>
      <c r="I221" s="454">
        <f t="shared" ref="I221:I223" si="6">G128</f>
        <v>230</v>
      </c>
      <c r="J221" s="454"/>
    </row>
    <row r="222" spans="1:10">
      <c r="B222" s="201" t="s">
        <v>322</v>
      </c>
      <c r="C222" s="201"/>
      <c r="D222" s="201" t="s">
        <v>276</v>
      </c>
      <c r="E222" s="209" t="s">
        <v>272</v>
      </c>
      <c r="F222" s="209">
        <f t="shared" si="4"/>
        <v>32</v>
      </c>
      <c r="H222" s="454">
        <f t="shared" si="5"/>
        <v>76</v>
      </c>
      <c r="I222" s="454">
        <f t="shared" si="6"/>
        <v>46</v>
      </c>
      <c r="J222" s="454">
        <f>G147</f>
        <v>190</v>
      </c>
    </row>
    <row r="223" spans="1:10">
      <c r="B223" s="201" t="s">
        <v>323</v>
      </c>
      <c r="C223" s="201"/>
      <c r="D223" s="201" t="s">
        <v>279</v>
      </c>
      <c r="E223" s="209" t="s">
        <v>272</v>
      </c>
      <c r="F223" s="209">
        <f t="shared" si="4"/>
        <v>27</v>
      </c>
      <c r="G223" s="283"/>
      <c r="H223" s="454">
        <f t="shared" si="5"/>
        <v>75</v>
      </c>
      <c r="I223" s="454">
        <f t="shared" si="6"/>
        <v>55</v>
      </c>
      <c r="J223" s="454"/>
    </row>
    <row r="224" spans="1:10">
      <c r="B224" s="201" t="s">
        <v>349</v>
      </c>
      <c r="C224" s="201"/>
      <c r="D224" s="201"/>
      <c r="E224" s="225" t="s">
        <v>350</v>
      </c>
      <c r="F224" s="229">
        <f>F220/F222</f>
        <v>3.125</v>
      </c>
      <c r="G224" s="229"/>
      <c r="H224" s="229">
        <f>H220/H222</f>
        <v>2.6315789473684212</v>
      </c>
      <c r="I224" s="229">
        <f>I220/I222*$D$215</f>
        <v>4</v>
      </c>
      <c r="J224" s="229">
        <f>J220/J222</f>
        <v>5.2631578947368425</v>
      </c>
    </row>
    <row r="225" spans="2:10">
      <c r="B225" s="201" t="s">
        <v>584</v>
      </c>
      <c r="C225" s="201"/>
      <c r="D225" s="201"/>
      <c r="E225" s="225" t="s">
        <v>350</v>
      </c>
      <c r="F225" s="229">
        <f>F221/F223</f>
        <v>3.7037037037037037</v>
      </c>
      <c r="G225" s="229"/>
      <c r="H225" s="229">
        <f>H221/H223</f>
        <v>3.0666666666666669</v>
      </c>
      <c r="I225" s="229">
        <f>I221/I223</f>
        <v>4.1818181818181817</v>
      </c>
      <c r="J225" s="229"/>
    </row>
    <row r="226" spans="2:10">
      <c r="B226" s="201" t="s">
        <v>288</v>
      </c>
      <c r="C226" s="201"/>
      <c r="D226" s="201"/>
      <c r="E226" s="209" t="s">
        <v>272</v>
      </c>
      <c r="F226" s="209"/>
      <c r="G226" s="209"/>
      <c r="H226" s="209"/>
      <c r="I226" s="457">
        <f>G131</f>
        <v>1.5</v>
      </c>
      <c r="J226" s="209">
        <f>G149</f>
        <v>7.4</v>
      </c>
    </row>
    <row r="227" spans="2:10">
      <c r="B227" s="201" t="s">
        <v>290</v>
      </c>
      <c r="C227" s="201"/>
      <c r="D227" s="201"/>
      <c r="E227" s="209" t="s">
        <v>272</v>
      </c>
      <c r="F227" s="209"/>
      <c r="G227" s="209"/>
      <c r="H227" s="209"/>
      <c r="I227" s="457">
        <f>G137</f>
        <v>3.7</v>
      </c>
      <c r="J227" s="209">
        <f>G154</f>
        <v>22</v>
      </c>
    </row>
    <row r="228" spans="2:10">
      <c r="B228" s="201" t="s">
        <v>292</v>
      </c>
      <c r="C228" s="201"/>
      <c r="D228" s="201"/>
      <c r="E228" s="209" t="s">
        <v>272</v>
      </c>
      <c r="F228" s="209"/>
      <c r="G228" s="209"/>
      <c r="H228" s="209">
        <f>$G125</f>
        <v>3</v>
      </c>
      <c r="I228" s="457">
        <f>G138</f>
        <v>3</v>
      </c>
      <c r="J228" s="209">
        <f>G161</f>
        <v>15</v>
      </c>
    </row>
    <row r="229" spans="2:10">
      <c r="B229" s="201" t="s">
        <v>385</v>
      </c>
      <c r="C229" s="201"/>
      <c r="D229" s="201"/>
      <c r="E229" s="209" t="s">
        <v>272</v>
      </c>
      <c r="F229" s="209"/>
      <c r="G229" s="209"/>
      <c r="H229" s="209"/>
      <c r="I229" s="458">
        <f>G144</f>
        <v>3</v>
      </c>
      <c r="J229" s="209"/>
    </row>
    <row r="230" spans="2:10">
      <c r="B230" s="1237" t="s">
        <v>285</v>
      </c>
      <c r="C230" s="1239"/>
      <c r="D230" s="201"/>
      <c r="E230" s="225" t="s">
        <v>350</v>
      </c>
      <c r="F230" s="209"/>
      <c r="G230" s="209">
        <f>G115</f>
        <v>4.5</v>
      </c>
      <c r="H230" s="229"/>
      <c r="I230" s="209"/>
      <c r="J230" s="209"/>
    </row>
    <row r="231" spans="2:10">
      <c r="B231" s="201" t="s">
        <v>585</v>
      </c>
      <c r="C231" s="201"/>
      <c r="D231" s="201"/>
      <c r="E231" s="201" t="s">
        <v>586</v>
      </c>
      <c r="F231" s="215">
        <f>$G21</f>
        <v>18</v>
      </c>
      <c r="G231" s="215"/>
      <c r="H231" s="215">
        <f>$G36</f>
        <v>37</v>
      </c>
      <c r="I231" s="215">
        <f>$G60</f>
        <v>22.3</v>
      </c>
      <c r="J231" s="201">
        <f>$G92</f>
        <v>92</v>
      </c>
    </row>
    <row r="232" spans="2:10">
      <c r="B232" s="201" t="s">
        <v>587</v>
      </c>
      <c r="C232" s="201"/>
      <c r="D232" s="201"/>
      <c r="E232" s="201" t="s">
        <v>586</v>
      </c>
      <c r="F232" s="215">
        <f>$G28</f>
        <v>11</v>
      </c>
      <c r="G232" s="214"/>
      <c r="H232" s="214">
        <f>$G43</f>
        <v>30</v>
      </c>
      <c r="I232" s="214">
        <f>$G68</f>
        <v>21.8</v>
      </c>
      <c r="J232" s="201"/>
    </row>
    <row r="233" spans="2:10">
      <c r="B233" s="201" t="s">
        <v>588</v>
      </c>
      <c r="C233" s="201"/>
      <c r="D233" s="201"/>
      <c r="E233" s="201" t="s">
        <v>251</v>
      </c>
      <c r="F233" s="215">
        <f>F231+F232</f>
        <v>29</v>
      </c>
      <c r="G233" s="215"/>
      <c r="H233" s="215">
        <f>H231+H232</f>
        <v>67</v>
      </c>
      <c r="I233" s="215">
        <f>I231+I232</f>
        <v>44.1</v>
      </c>
      <c r="J233" s="215">
        <f>J231+J232</f>
        <v>92</v>
      </c>
    </row>
    <row r="234" spans="2:10">
      <c r="B234" s="201" t="s">
        <v>357</v>
      </c>
      <c r="C234" s="201"/>
      <c r="D234" s="201"/>
      <c r="E234" s="201" t="s">
        <v>586</v>
      </c>
      <c r="F234" s="201"/>
      <c r="G234" s="201"/>
      <c r="H234" s="459">
        <f>G50</f>
        <v>2.1</v>
      </c>
      <c r="I234" s="201">
        <f>G76</f>
        <v>5.7</v>
      </c>
      <c r="J234" s="201">
        <f>G100</f>
        <v>31</v>
      </c>
    </row>
    <row r="235" spans="2:10">
      <c r="B235" s="201" t="s">
        <v>358</v>
      </c>
      <c r="C235" s="201"/>
      <c r="D235" s="201"/>
      <c r="E235" s="201" t="s">
        <v>586</v>
      </c>
      <c r="F235" s="201"/>
      <c r="G235" s="201"/>
      <c r="H235" s="459">
        <f>G51</f>
        <v>1.7</v>
      </c>
      <c r="I235" s="203">
        <f>G77</f>
        <v>2.5</v>
      </c>
      <c r="J235" s="201"/>
    </row>
    <row r="236" spans="2:10">
      <c r="B236" s="201" t="s">
        <v>589</v>
      </c>
      <c r="C236" s="201"/>
      <c r="D236" s="201"/>
      <c r="E236" s="201" t="s">
        <v>251</v>
      </c>
      <c r="F236" s="214"/>
      <c r="G236" s="214"/>
      <c r="H236" s="232">
        <f>H234+H235</f>
        <v>3.8</v>
      </c>
      <c r="I236" s="232">
        <f t="shared" ref="I236:J236" si="7">I234+I235</f>
        <v>8.1999999999999993</v>
      </c>
      <c r="J236" s="214">
        <f t="shared" si="7"/>
        <v>31</v>
      </c>
    </row>
    <row r="237" spans="2:10">
      <c r="B237" s="201" t="s">
        <v>590</v>
      </c>
      <c r="C237" s="201"/>
      <c r="D237" s="201"/>
      <c r="E237" s="209" t="s">
        <v>591</v>
      </c>
      <c r="F237" s="214">
        <f>F233+F236</f>
        <v>29</v>
      </c>
      <c r="G237" s="214"/>
      <c r="H237" s="214">
        <f>H233+H236</f>
        <v>70.8</v>
      </c>
      <c r="I237" s="214">
        <f>I233+I236</f>
        <v>52.3</v>
      </c>
      <c r="J237" s="214">
        <f>J233+J236</f>
        <v>123</v>
      </c>
    </row>
    <row r="238" spans="2:10">
      <c r="B238" s="201" t="s">
        <v>387</v>
      </c>
      <c r="C238" s="201"/>
      <c r="D238" s="201"/>
      <c r="E238" s="201" t="s">
        <v>592</v>
      </c>
      <c r="F238" s="230">
        <f>F233*$D$210</f>
        <v>11.831999999999999</v>
      </c>
      <c r="G238" s="230"/>
      <c r="H238" s="230">
        <f t="shared" ref="H238" si="8">H233*$D$210</f>
        <v>27.335999999999999</v>
      </c>
      <c r="I238" s="230">
        <f>I233*$D$210</f>
        <v>17.992799999999999</v>
      </c>
      <c r="J238" s="230">
        <f>J233*$D$210</f>
        <v>37.535999999999994</v>
      </c>
    </row>
    <row r="239" spans="2:10">
      <c r="B239" s="201" t="s">
        <v>388</v>
      </c>
      <c r="C239" s="201"/>
      <c r="D239" s="201"/>
      <c r="E239" s="201" t="s">
        <v>592</v>
      </c>
      <c r="F239" s="203"/>
      <c r="G239" s="203"/>
      <c r="H239" s="203">
        <f>H236*$D210</f>
        <v>1.5503999999999998</v>
      </c>
      <c r="I239" s="203">
        <f>I236*$D210</f>
        <v>3.3455999999999997</v>
      </c>
      <c r="J239" s="203">
        <f>J236*$D210</f>
        <v>12.648</v>
      </c>
    </row>
    <row r="240" spans="2:10">
      <c r="B240" s="201" t="s">
        <v>593</v>
      </c>
      <c r="C240" s="201"/>
      <c r="D240" s="201"/>
      <c r="E240" s="201" t="s">
        <v>360</v>
      </c>
      <c r="F240" s="230">
        <f>F238+F239</f>
        <v>11.831999999999999</v>
      </c>
      <c r="G240" s="230"/>
      <c r="H240" s="230">
        <f>H238+H239</f>
        <v>28.886399999999998</v>
      </c>
      <c r="I240" s="230">
        <f>I238+I239</f>
        <v>21.3384</v>
      </c>
      <c r="J240" s="230">
        <f t="shared" ref="J240" si="9">J238+J239</f>
        <v>50.183999999999997</v>
      </c>
    </row>
    <row r="241" spans="2:10">
      <c r="B241" s="201" t="s">
        <v>594</v>
      </c>
      <c r="C241" s="201"/>
      <c r="D241" s="201"/>
      <c r="E241" s="201" t="s">
        <v>364</v>
      </c>
      <c r="F241" s="214">
        <f>F237*$C206</f>
        <v>725</v>
      </c>
      <c r="G241" s="214"/>
      <c r="H241" s="214">
        <f>H237*$C206</f>
        <v>1770</v>
      </c>
      <c r="I241" s="214">
        <f>I237*$C206</f>
        <v>1307.5</v>
      </c>
      <c r="J241" s="214">
        <f>J237*$C206</f>
        <v>3075</v>
      </c>
    </row>
    <row r="242" spans="2:10">
      <c r="B242" s="201" t="s">
        <v>595</v>
      </c>
      <c r="C242" s="201"/>
      <c r="D242" s="201"/>
      <c r="E242" s="204" t="s">
        <v>596</v>
      </c>
      <c r="F242" s="208">
        <f>F241/F220</f>
        <v>7.25</v>
      </c>
      <c r="G242" s="208"/>
      <c r="H242" s="208">
        <f>H241/H220</f>
        <v>8.85</v>
      </c>
      <c r="I242" s="208">
        <f t="shared" ref="I242:J242" si="10">I241/I220</f>
        <v>6.5374999999999996</v>
      </c>
      <c r="J242" s="208">
        <f t="shared" si="10"/>
        <v>3.0750000000000002</v>
      </c>
    </row>
    <row r="244" spans="2:10">
      <c r="B244" s="199" t="s">
        <v>366</v>
      </c>
    </row>
    <row r="245" spans="2:10" ht="37.5">
      <c r="B245" s="228" t="s">
        <v>367</v>
      </c>
      <c r="C245" s="201"/>
      <c r="D245" s="201"/>
      <c r="E245" s="201"/>
      <c r="F245" s="209" t="s">
        <v>300</v>
      </c>
      <c r="G245" s="209" t="s">
        <v>300</v>
      </c>
      <c r="H245" s="224" t="s">
        <v>373</v>
      </c>
      <c r="I245" s="224" t="s">
        <v>371</v>
      </c>
      <c r="J245" s="224" t="s">
        <v>372</v>
      </c>
    </row>
    <row r="246" spans="2:10">
      <c r="B246" s="201" t="s">
        <v>597</v>
      </c>
      <c r="C246" s="201"/>
      <c r="D246" s="201"/>
      <c r="E246" s="209" t="s">
        <v>272</v>
      </c>
      <c r="F246" s="209">
        <f>$G$111</f>
        <v>100</v>
      </c>
      <c r="G246" s="460">
        <f>F246</f>
        <v>100</v>
      </c>
      <c r="H246" s="454">
        <f>$G$146</f>
        <v>1000</v>
      </c>
      <c r="I246" s="454">
        <f>$G$117</f>
        <v>200</v>
      </c>
      <c r="J246" s="454">
        <f>$G$127</f>
        <v>200</v>
      </c>
    </row>
    <row r="247" spans="2:10" ht="37.5">
      <c r="B247" s="228" t="s">
        <v>368</v>
      </c>
      <c r="C247" s="201"/>
      <c r="D247" s="201"/>
      <c r="E247" s="201"/>
      <c r="F247" s="209" t="s">
        <v>300</v>
      </c>
      <c r="G247" s="224" t="s">
        <v>370</v>
      </c>
      <c r="H247" s="224" t="s">
        <v>371</v>
      </c>
      <c r="I247" s="224" t="s">
        <v>372</v>
      </c>
      <c r="J247" s="209" t="s">
        <v>300</v>
      </c>
    </row>
    <row r="248" spans="2:10" ht="37.5">
      <c r="B248" s="201" t="s">
        <v>598</v>
      </c>
      <c r="C248" s="201"/>
      <c r="D248" s="201"/>
      <c r="E248" s="201"/>
      <c r="F248" s="209" t="s">
        <v>375</v>
      </c>
      <c r="G248" s="209" t="s">
        <v>375</v>
      </c>
      <c r="H248" s="224" t="s">
        <v>375</v>
      </c>
      <c r="I248" s="209" t="s">
        <v>375</v>
      </c>
      <c r="J248" s="224" t="s">
        <v>599</v>
      </c>
    </row>
    <row r="249" spans="2:10">
      <c r="B249" s="201" t="s">
        <v>555</v>
      </c>
      <c r="C249" s="201"/>
      <c r="D249" s="201"/>
      <c r="E249" s="225" t="s">
        <v>350</v>
      </c>
      <c r="F249" s="454">
        <v>1</v>
      </c>
      <c r="G249" s="454">
        <v>1</v>
      </c>
      <c r="H249" s="455">
        <v>5</v>
      </c>
      <c r="I249" s="454">
        <v>1</v>
      </c>
      <c r="J249" s="454">
        <v>2</v>
      </c>
    </row>
    <row r="250" spans="2:10">
      <c r="B250" s="201" t="s">
        <v>600</v>
      </c>
      <c r="C250" s="201"/>
      <c r="D250" s="201"/>
      <c r="E250" s="209" t="s">
        <v>272</v>
      </c>
      <c r="F250" s="458">
        <f>$F187</f>
        <v>100</v>
      </c>
      <c r="G250" s="458">
        <f>F250</f>
        <v>100</v>
      </c>
      <c r="H250" s="458">
        <f>$H187</f>
        <v>200</v>
      </c>
      <c r="I250" s="458">
        <f>$I187</f>
        <v>200</v>
      </c>
      <c r="J250" s="458">
        <f>$F187</f>
        <v>100</v>
      </c>
    </row>
    <row r="251" spans="2:10">
      <c r="B251" s="461" t="s">
        <v>475</v>
      </c>
      <c r="C251" s="206" t="s">
        <v>601</v>
      </c>
      <c r="D251" s="284"/>
      <c r="F251" s="458"/>
      <c r="G251" s="458"/>
      <c r="H251" s="458"/>
      <c r="I251" s="458"/>
      <c r="J251" s="458"/>
    </row>
    <row r="252" spans="2:10">
      <c r="B252" s="201" t="s">
        <v>346</v>
      </c>
      <c r="C252" s="201"/>
      <c r="D252" s="201" t="s">
        <v>308</v>
      </c>
      <c r="E252" s="209" t="s">
        <v>272</v>
      </c>
      <c r="F252" s="458">
        <f>$F187</f>
        <v>100</v>
      </c>
      <c r="G252" s="458">
        <f>F252</f>
        <v>100</v>
      </c>
      <c r="H252" s="458">
        <f>$H187</f>
        <v>200</v>
      </c>
      <c r="I252" s="458">
        <f>$I187</f>
        <v>200</v>
      </c>
      <c r="J252" s="458">
        <f>$F187</f>
        <v>100</v>
      </c>
    </row>
    <row r="253" spans="2:10">
      <c r="B253" s="201" t="s">
        <v>273</v>
      </c>
      <c r="C253" s="201"/>
      <c r="D253" s="201" t="s">
        <v>309</v>
      </c>
      <c r="E253" s="209" t="s">
        <v>272</v>
      </c>
      <c r="F253" s="458">
        <f>$F188</f>
        <v>120</v>
      </c>
      <c r="G253" s="209" t="s">
        <v>539</v>
      </c>
      <c r="H253" s="458"/>
      <c r="I253" s="458">
        <f>$I188</f>
        <v>230</v>
      </c>
      <c r="J253" s="458">
        <f>$F188</f>
        <v>120</v>
      </c>
    </row>
    <row r="254" spans="2:10">
      <c r="B254" s="201" t="s">
        <v>322</v>
      </c>
      <c r="C254" s="201"/>
      <c r="D254" s="201" t="s">
        <v>310</v>
      </c>
      <c r="E254" s="209" t="s">
        <v>272</v>
      </c>
      <c r="F254" s="458">
        <f>$F189</f>
        <v>30</v>
      </c>
      <c r="G254" s="458" t="s">
        <v>378</v>
      </c>
      <c r="H254" s="458">
        <f>$H189</f>
        <v>73</v>
      </c>
      <c r="I254" s="458">
        <f>$I189</f>
        <v>44</v>
      </c>
      <c r="J254" s="458">
        <f>$F189</f>
        <v>30</v>
      </c>
    </row>
    <row r="255" spans="2:10">
      <c r="B255" s="201" t="s">
        <v>323</v>
      </c>
      <c r="C255" s="201"/>
      <c r="D255" s="201" t="s">
        <v>311</v>
      </c>
      <c r="E255" s="209" t="s">
        <v>272</v>
      </c>
      <c r="F255" s="458">
        <f>$F190</f>
        <v>30</v>
      </c>
      <c r="G255" s="209" t="s">
        <v>602</v>
      </c>
      <c r="H255" s="458"/>
      <c r="I255" s="458">
        <f>$I190</f>
        <v>54</v>
      </c>
      <c r="J255" s="458">
        <f>$F190</f>
        <v>30</v>
      </c>
    </row>
    <row r="256" spans="2:10">
      <c r="B256" s="201" t="s">
        <v>349</v>
      </c>
      <c r="C256" s="201"/>
      <c r="D256" s="201"/>
      <c r="E256" s="225" t="s">
        <v>350</v>
      </c>
      <c r="F256" s="229">
        <f>F252/F254</f>
        <v>3.3333333333333335</v>
      </c>
      <c r="G256" s="229"/>
      <c r="H256" s="229">
        <f t="shared" ref="H256:J257" si="11">H252/H254</f>
        <v>2.7397260273972601</v>
      </c>
      <c r="I256" s="229">
        <f>I252/I254*$D$215</f>
        <v>4.1818181818181825</v>
      </c>
      <c r="J256" s="229">
        <f t="shared" si="11"/>
        <v>3.3333333333333335</v>
      </c>
    </row>
    <row r="257" spans="2:10">
      <c r="B257" s="201" t="s">
        <v>584</v>
      </c>
      <c r="C257" s="201"/>
      <c r="D257" s="201"/>
      <c r="E257" s="225" t="s">
        <v>350</v>
      </c>
      <c r="F257" s="229">
        <f>F253/F255</f>
        <v>4</v>
      </c>
      <c r="G257" s="229"/>
      <c r="H257" s="229"/>
      <c r="I257" s="229">
        <f>I253/I255</f>
        <v>4.2592592592592595</v>
      </c>
      <c r="J257" s="229">
        <f t="shared" si="11"/>
        <v>4</v>
      </c>
    </row>
    <row r="258" spans="2:10">
      <c r="B258" s="201" t="s">
        <v>288</v>
      </c>
      <c r="C258" s="201"/>
      <c r="D258" s="201"/>
      <c r="E258" s="209" t="s">
        <v>272</v>
      </c>
      <c r="F258" s="201"/>
      <c r="G258" s="201"/>
      <c r="H258" s="201"/>
      <c r="I258" s="201">
        <f>$I191</f>
        <v>1.5</v>
      </c>
      <c r="J258" s="201"/>
    </row>
    <row r="259" spans="2:10">
      <c r="B259" s="201" t="s">
        <v>290</v>
      </c>
      <c r="C259" s="201"/>
      <c r="D259" s="201"/>
      <c r="E259" s="209" t="s">
        <v>272</v>
      </c>
      <c r="F259" s="201"/>
      <c r="G259" s="201"/>
      <c r="H259" s="201"/>
      <c r="I259" s="201">
        <f>$I192</f>
        <v>3.7</v>
      </c>
      <c r="J259" s="201"/>
    </row>
    <row r="260" spans="2:10">
      <c r="B260" s="201" t="s">
        <v>292</v>
      </c>
      <c r="C260" s="201"/>
      <c r="D260" s="201"/>
      <c r="E260" s="209" t="s">
        <v>272</v>
      </c>
      <c r="F260" s="201"/>
      <c r="G260" s="201"/>
      <c r="H260" s="201">
        <f>$H193</f>
        <v>3</v>
      </c>
      <c r="I260" s="201">
        <f>$I193</f>
        <v>3</v>
      </c>
      <c r="J260" s="201"/>
    </row>
    <row r="261" spans="2:10">
      <c r="B261" s="201" t="s">
        <v>385</v>
      </c>
      <c r="C261" s="201"/>
      <c r="D261" s="201"/>
      <c r="E261" s="209" t="s">
        <v>272</v>
      </c>
      <c r="F261" s="201"/>
      <c r="G261" s="201"/>
      <c r="H261" s="201"/>
      <c r="I261" s="201">
        <f>$I194</f>
        <v>3</v>
      </c>
      <c r="J261" s="201"/>
    </row>
    <row r="262" spans="2:10">
      <c r="B262" s="201" t="s">
        <v>314</v>
      </c>
      <c r="C262" s="201"/>
      <c r="D262" s="201"/>
      <c r="E262" s="225" t="s">
        <v>350</v>
      </c>
      <c r="F262" s="201"/>
      <c r="G262" s="283">
        <f>G195</f>
        <v>5.5</v>
      </c>
      <c r="H262" s="201"/>
      <c r="I262" s="201"/>
      <c r="J262" s="201"/>
    </row>
    <row r="263" spans="2:10">
      <c r="B263" s="201" t="s">
        <v>585</v>
      </c>
      <c r="C263" s="201"/>
      <c r="D263" s="201"/>
      <c r="E263" s="209" t="s">
        <v>603</v>
      </c>
      <c r="F263" s="214">
        <f>G21*(F224/F256)</f>
        <v>16.875</v>
      </c>
      <c r="G263" s="214"/>
      <c r="H263" s="214">
        <f>G92*(J224/H256)</f>
        <v>176.73684210526318</v>
      </c>
      <c r="I263" s="214">
        <f>G36*(H224/I256)</f>
        <v>23.283752860411898</v>
      </c>
      <c r="J263" s="214">
        <f>G60*(I224/J256)</f>
        <v>26.76</v>
      </c>
    </row>
    <row r="264" spans="2:10">
      <c r="B264" s="201" t="s">
        <v>587</v>
      </c>
      <c r="C264" s="201"/>
      <c r="D264" s="201"/>
      <c r="E264" s="209" t="s">
        <v>603</v>
      </c>
      <c r="F264" s="214">
        <f>G28*(F225/F257)</f>
        <v>10.185185185185185</v>
      </c>
      <c r="G264" s="214"/>
      <c r="H264" s="214"/>
      <c r="I264" s="214">
        <f>G43*(H225/I257)</f>
        <v>21.599999999999998</v>
      </c>
      <c r="J264" s="214">
        <f>G68*(I225/J257)</f>
        <v>22.790909090909089</v>
      </c>
    </row>
    <row r="265" spans="2:10">
      <c r="B265" s="201" t="s">
        <v>604</v>
      </c>
      <c r="C265" s="201"/>
      <c r="D265" s="201"/>
      <c r="E265" s="209" t="s">
        <v>591</v>
      </c>
      <c r="F265" s="214">
        <f>(F263+F264)*(F250*F249)/F246</f>
        <v>27.060185185185183</v>
      </c>
      <c r="G265" s="214">
        <f>(G21+G28)*(G230/G262)*(G250*G249)/G246</f>
        <v>23.72727272727273</v>
      </c>
      <c r="H265" s="214">
        <f>(H263+H264)*(H250*H249)/H246</f>
        <v>176.73684210526318</v>
      </c>
      <c r="I265" s="214">
        <f>(I263+I264)*(I250*I249)/I246</f>
        <v>44.883752860411896</v>
      </c>
      <c r="J265" s="214">
        <f>(J263+J264)*(J250*J249)/J246</f>
        <v>49.550909090909087</v>
      </c>
    </row>
    <row r="266" spans="2:10">
      <c r="B266" s="201" t="s">
        <v>357</v>
      </c>
      <c r="C266" s="201"/>
      <c r="D266" s="201"/>
      <c r="E266" s="209" t="s">
        <v>603</v>
      </c>
      <c r="F266" s="214"/>
      <c r="G266" s="214"/>
      <c r="H266" s="232">
        <f>G100*(H193/(J167+J168+J169))</f>
        <v>2.0945945945945947</v>
      </c>
      <c r="I266" s="232">
        <f>G50*(I191+I192+I193)/(G125)</f>
        <v>5.7399999999999993</v>
      </c>
      <c r="J266" s="201"/>
    </row>
    <row r="267" spans="2:10">
      <c r="B267" s="201" t="s">
        <v>358</v>
      </c>
      <c r="C267" s="201"/>
      <c r="D267" s="201"/>
      <c r="E267" s="209" t="s">
        <v>603</v>
      </c>
      <c r="F267" s="214"/>
      <c r="G267" s="214"/>
      <c r="H267" s="232"/>
      <c r="I267" s="232">
        <f>G51*(I193+I194)/(G125)</f>
        <v>3.4</v>
      </c>
      <c r="J267" s="201"/>
    </row>
    <row r="268" spans="2:10">
      <c r="B268" s="201" t="s">
        <v>605</v>
      </c>
      <c r="C268" s="201"/>
      <c r="D268" s="201"/>
      <c r="E268" s="209" t="s">
        <v>591</v>
      </c>
      <c r="F268" s="232"/>
      <c r="G268" s="214"/>
      <c r="H268" s="232">
        <f>(H266+H267)*(H250*H249)/H246</f>
        <v>2.0945945945945947</v>
      </c>
      <c r="I268" s="232">
        <f>(I266+I267)*(I250*I249)/I246</f>
        <v>9.1399999999999988</v>
      </c>
      <c r="J268" s="232"/>
    </row>
    <row r="269" spans="2:10">
      <c r="B269" s="201" t="s">
        <v>590</v>
      </c>
      <c r="C269" s="201"/>
      <c r="D269" s="201"/>
      <c r="E269" s="209" t="s">
        <v>591</v>
      </c>
      <c r="F269" s="214">
        <f>F265+F268</f>
        <v>27.060185185185183</v>
      </c>
      <c r="G269" s="232">
        <f>G265+G268</f>
        <v>23.72727272727273</v>
      </c>
      <c r="H269" s="214">
        <f>H265+H268</f>
        <v>178.83143669985776</v>
      </c>
      <c r="I269" s="214">
        <f>I265+I268</f>
        <v>54.023752860411896</v>
      </c>
      <c r="J269" s="214">
        <f t="shared" ref="J269" si="12">J265+J268</f>
        <v>49.550909090909087</v>
      </c>
    </row>
    <row r="270" spans="2:10">
      <c r="B270" s="201" t="s">
        <v>387</v>
      </c>
      <c r="C270" s="201"/>
      <c r="D270" s="201"/>
      <c r="E270" s="201" t="s">
        <v>360</v>
      </c>
      <c r="F270" s="232">
        <f>F265*$D$210</f>
        <v>11.040555555555555</v>
      </c>
      <c r="G270" s="232">
        <f>G265*$D$210</f>
        <v>9.6807272727272728</v>
      </c>
      <c r="H270" s="232">
        <f>H265*$D$210</f>
        <v>72.108631578947367</v>
      </c>
      <c r="I270" s="232">
        <f>I265*$D$210</f>
        <v>18.312571167048052</v>
      </c>
      <c r="J270" s="232">
        <f>J265*$D$210</f>
        <v>20.216770909090908</v>
      </c>
    </row>
    <row r="271" spans="2:10">
      <c r="B271" s="201" t="s">
        <v>388</v>
      </c>
      <c r="C271" s="201"/>
      <c r="D271" s="201"/>
      <c r="E271" s="201" t="s">
        <v>360</v>
      </c>
      <c r="F271" s="232"/>
      <c r="G271" s="214"/>
      <c r="H271" s="232">
        <f>H268*$D$210</f>
        <v>0.85459459459459464</v>
      </c>
      <c r="I271" s="232">
        <f>I268*$D$210</f>
        <v>3.7291199999999991</v>
      </c>
      <c r="J271" s="201"/>
    </row>
    <row r="272" spans="2:10">
      <c r="B272" s="201" t="s">
        <v>593</v>
      </c>
      <c r="C272" s="201"/>
      <c r="D272" s="201"/>
      <c r="E272" s="201" t="s">
        <v>360</v>
      </c>
      <c r="F272" s="232">
        <f>F270+F271</f>
        <v>11.040555555555555</v>
      </c>
      <c r="G272" s="232">
        <f>G265*$D$210</f>
        <v>9.6807272727272728</v>
      </c>
      <c r="H272" s="232">
        <f t="shared" ref="H272:J272" si="13">H270+H271</f>
        <v>72.963226173541969</v>
      </c>
      <c r="I272" s="232">
        <f t="shared" si="13"/>
        <v>22.04169116704805</v>
      </c>
      <c r="J272" s="232">
        <f t="shared" si="13"/>
        <v>20.216770909090908</v>
      </c>
    </row>
    <row r="273" spans="2:10">
      <c r="B273" s="201" t="s">
        <v>594</v>
      </c>
      <c r="C273" s="227"/>
      <c r="D273" s="203"/>
      <c r="E273" s="201" t="s">
        <v>364</v>
      </c>
      <c r="F273" s="214">
        <f>F269*$C$206</f>
        <v>676.50462962962956</v>
      </c>
      <c r="G273" s="214">
        <f>G269*$C$206</f>
        <v>593.18181818181824</v>
      </c>
      <c r="H273" s="214">
        <f>H269*$C$206</f>
        <v>4470.7859174964442</v>
      </c>
      <c r="I273" s="214">
        <f>I269*$C$206</f>
        <v>1350.5938215102974</v>
      </c>
      <c r="J273" s="214">
        <f>J269*$C$206</f>
        <v>1238.7727272727273</v>
      </c>
    </row>
    <row r="274" spans="2:10">
      <c r="B274" s="201" t="s">
        <v>595</v>
      </c>
      <c r="C274" s="201"/>
      <c r="D274" s="201"/>
      <c r="E274" s="204" t="s">
        <v>596</v>
      </c>
      <c r="F274" s="208">
        <f>F273/F246</f>
        <v>6.7650462962962958</v>
      </c>
      <c r="G274" s="208">
        <f>G273/G246</f>
        <v>5.9318181818181825</v>
      </c>
      <c r="H274" s="208">
        <f>H273/H246</f>
        <v>4.4707859174964444</v>
      </c>
      <c r="I274" s="208">
        <f>I273/I246</f>
        <v>6.752969107551487</v>
      </c>
      <c r="J274" s="208">
        <f>J273/J246</f>
        <v>6.1938636363636359</v>
      </c>
    </row>
  </sheetData>
  <mergeCells count="2">
    <mergeCell ref="B219:E219"/>
    <mergeCell ref="B230:C230"/>
  </mergeCells>
  <phoneticPr fontId="7"/>
  <printOptions horizontalCentered="1"/>
  <pageMargins left="0.19685039370078741" right="0.19685039370078741"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072A-0594-4D17-9F7A-0D7DAFCAB8C3}">
  <sheetPr>
    <tabColor theme="8" tint="-0.249977111117893"/>
  </sheetPr>
  <dimension ref="A1:T124"/>
  <sheetViews>
    <sheetView showGridLines="0" zoomScaleNormal="100" zoomScaleSheetLayoutView="100" workbookViewId="0">
      <selection activeCell="L5" sqref="L5:M5"/>
    </sheetView>
  </sheetViews>
  <sheetFormatPr defaultColWidth="9" defaultRowHeight="18.75" outlineLevelCol="1"/>
  <cols>
    <col min="1" max="5" width="7.75" style="7" customWidth="1"/>
    <col min="6" max="6" width="8.25" style="7" customWidth="1"/>
    <col min="7" max="8" width="7.75" style="7" customWidth="1"/>
    <col min="9" max="10" width="12.75" style="7" customWidth="1"/>
    <col min="11" max="11" width="7.75" style="7" customWidth="1"/>
    <col min="12" max="13" width="7.75" style="7" customWidth="1" outlineLevel="1"/>
    <col min="14" max="14" width="7.625" style="86" customWidth="1"/>
    <col min="15" max="16384" width="9" style="7"/>
  </cols>
  <sheetData>
    <row r="1" spans="1:15" ht="24" customHeight="1">
      <c r="A1" s="1173"/>
      <c r="B1" s="1173"/>
      <c r="C1" s="1173"/>
      <c r="D1" s="1173"/>
      <c r="E1" s="1173"/>
      <c r="F1" s="1173"/>
      <c r="G1" s="1173"/>
      <c r="H1" s="1173"/>
      <c r="I1" s="1173"/>
      <c r="J1" s="1173"/>
      <c r="K1" s="1173"/>
      <c r="L1" s="1173"/>
      <c r="M1" s="1173"/>
    </row>
    <row r="2" spans="1:15" ht="39" customHeight="1">
      <c r="A2" s="1174" t="s">
        <v>770</v>
      </c>
      <c r="B2" s="1175"/>
      <c r="C2" s="1175"/>
      <c r="D2" s="1175"/>
      <c r="E2" s="1175"/>
      <c r="F2" s="1175"/>
      <c r="G2" s="1175"/>
      <c r="H2" s="1175"/>
      <c r="I2" s="1175"/>
      <c r="J2" s="1175"/>
      <c r="K2" s="1175"/>
      <c r="L2" s="1175"/>
      <c r="M2" s="1175"/>
    </row>
    <row r="3" spans="1:15" ht="4.1500000000000004" customHeight="1"/>
    <row r="4" spans="1:15" ht="21" customHeight="1">
      <c r="A4" s="1279" t="s">
        <v>147</v>
      </c>
      <c r="B4" s="1108" t="s">
        <v>390</v>
      </c>
      <c r="C4" s="1109"/>
      <c r="D4" s="1109"/>
      <c r="E4" s="1109"/>
      <c r="F4" s="1109"/>
      <c r="G4" s="1109"/>
      <c r="H4" s="1109"/>
      <c r="I4" s="1109"/>
      <c r="J4" s="1110"/>
      <c r="K4" s="1182" t="s">
        <v>18</v>
      </c>
      <c r="L4" s="1286"/>
      <c r="M4" s="1287"/>
      <c r="O4" s="1063"/>
    </row>
    <row r="5" spans="1:15" ht="21" customHeight="1">
      <c r="A5" s="1148"/>
      <c r="B5" s="1111" t="s">
        <v>682</v>
      </c>
      <c r="C5" s="155"/>
      <c r="D5" s="155"/>
      <c r="E5" s="155"/>
      <c r="F5" s="155"/>
      <c r="G5" s="155"/>
      <c r="H5" s="155"/>
      <c r="I5" s="155"/>
      <c r="J5" s="1112"/>
      <c r="K5" s="1183"/>
      <c r="L5" s="1286"/>
      <c r="M5" s="1287"/>
      <c r="O5" s="1063"/>
    </row>
    <row r="6" spans="1:15" ht="4.9000000000000004" customHeight="1"/>
    <row r="7" spans="1:15" ht="19.5" customHeight="1">
      <c r="A7" s="1146">
        <v>2</v>
      </c>
      <c r="B7" s="1061" t="s">
        <v>852</v>
      </c>
      <c r="C7" s="1064"/>
      <c r="D7" s="1064"/>
      <c r="E7" s="1064"/>
      <c r="F7" s="1064"/>
      <c r="G7" s="1064"/>
      <c r="H7" s="1064"/>
      <c r="I7" s="1064"/>
      <c r="J7" s="1065"/>
      <c r="K7" s="1065"/>
      <c r="L7" s="1113"/>
      <c r="M7" s="1114"/>
    </row>
    <row r="8" spans="1:15" ht="15.6" customHeight="1">
      <c r="A8" s="1147"/>
      <c r="B8" s="1115" t="s">
        <v>17</v>
      </c>
      <c r="C8" s="76" t="s">
        <v>806</v>
      </c>
      <c r="F8" s="81" t="s">
        <v>635</v>
      </c>
      <c r="G8" s="82" t="s">
        <v>125</v>
      </c>
      <c r="I8" s="84"/>
      <c r="J8" s="152" t="s">
        <v>774</v>
      </c>
      <c r="K8" s="1155" t="s">
        <v>19</v>
      </c>
      <c r="L8" s="1159"/>
      <c r="M8" s="1160"/>
    </row>
    <row r="9" spans="1:15" ht="15.6" customHeight="1">
      <c r="A9" s="1147"/>
      <c r="C9" s="76" t="s">
        <v>792</v>
      </c>
      <c r="G9" s="82" t="s">
        <v>126</v>
      </c>
      <c r="J9" s="152" t="s">
        <v>774</v>
      </c>
      <c r="K9" s="1156"/>
      <c r="L9" s="1282"/>
      <c r="M9" s="1283"/>
    </row>
    <row r="10" spans="1:15" ht="15.6" customHeight="1">
      <c r="A10" s="1147"/>
      <c r="C10" s="77" t="s">
        <v>793</v>
      </c>
      <c r="D10" s="1116"/>
      <c r="E10" s="1116"/>
      <c r="F10" s="1116"/>
      <c r="G10" s="82" t="s">
        <v>956</v>
      </c>
      <c r="I10" s="84"/>
      <c r="J10" s="1069" t="s">
        <v>98</v>
      </c>
      <c r="K10" s="1156"/>
      <c r="L10" s="1284"/>
      <c r="M10" s="1285"/>
    </row>
    <row r="11" spans="1:15" ht="15.6" customHeight="1" thickBot="1">
      <c r="A11" s="1147"/>
      <c r="B11" s="1117"/>
      <c r="C11" s="77"/>
      <c r="D11" s="77"/>
      <c r="E11" s="77"/>
      <c r="F11" s="78"/>
      <c r="G11" s="80" t="s">
        <v>957</v>
      </c>
      <c r="H11" s="92"/>
      <c r="I11" s="92"/>
      <c r="J11" s="322" t="s">
        <v>98</v>
      </c>
      <c r="K11" s="1156"/>
      <c r="L11" s="1161"/>
      <c r="M11" s="1162"/>
    </row>
    <row r="12" spans="1:15" ht="15.6" customHeight="1">
      <c r="A12" s="1147"/>
      <c r="B12" s="1066" t="s">
        <v>17</v>
      </c>
      <c r="C12" s="1137" t="s">
        <v>876</v>
      </c>
      <c r="D12" s="1137"/>
      <c r="E12" s="1137"/>
      <c r="F12" s="81" t="s">
        <v>636</v>
      </c>
      <c r="G12" s="82" t="s">
        <v>641</v>
      </c>
      <c r="J12" s="152" t="s">
        <v>785</v>
      </c>
      <c r="K12" s="1156"/>
      <c r="L12" s="1149"/>
      <c r="M12" s="1150"/>
    </row>
    <row r="13" spans="1:15" ht="15.6" customHeight="1" thickBot="1">
      <c r="A13" s="1147"/>
      <c r="B13" s="1117"/>
      <c r="C13" s="1137"/>
      <c r="D13" s="1137"/>
      <c r="E13" s="1137"/>
      <c r="F13" s="79"/>
      <c r="G13" s="80" t="s">
        <v>959</v>
      </c>
      <c r="H13" s="92"/>
      <c r="I13" s="92"/>
      <c r="J13" s="322" t="s">
        <v>875</v>
      </c>
      <c r="K13" s="1156"/>
      <c r="L13" s="1288"/>
      <c r="M13" s="1169"/>
    </row>
    <row r="14" spans="1:15" ht="15.6" customHeight="1">
      <c r="A14" s="1147"/>
      <c r="F14" s="86" t="s">
        <v>638</v>
      </c>
      <c r="G14" s="82" t="s">
        <v>107</v>
      </c>
      <c r="I14" s="84"/>
      <c r="J14" s="1069" t="s">
        <v>784</v>
      </c>
      <c r="K14" s="1156"/>
      <c r="L14" s="1188"/>
      <c r="M14" s="1189"/>
    </row>
    <row r="15" spans="1:15" ht="15.6" customHeight="1">
      <c r="A15" s="1147"/>
      <c r="D15" s="77"/>
      <c r="E15" s="77"/>
      <c r="F15" s="77"/>
      <c r="G15" s="82" t="s">
        <v>108</v>
      </c>
      <c r="I15" s="84"/>
      <c r="J15" s="1069" t="s">
        <v>785</v>
      </c>
      <c r="K15" s="1156"/>
      <c r="L15" s="1280"/>
      <c r="M15" s="1281"/>
    </row>
    <row r="16" spans="1:15" ht="15.6" customHeight="1">
      <c r="A16" s="1147"/>
      <c r="D16" s="77"/>
      <c r="E16" s="77"/>
      <c r="F16" s="77"/>
      <c r="G16" s="82" t="s">
        <v>956</v>
      </c>
      <c r="I16" s="84"/>
      <c r="J16" s="1069" t="s">
        <v>98</v>
      </c>
      <c r="K16" s="1156"/>
      <c r="L16" s="1289"/>
      <c r="M16" s="1290"/>
    </row>
    <row r="17" spans="1:19" ht="15.6" customHeight="1" thickBot="1">
      <c r="A17" s="1147"/>
      <c r="D17" s="77"/>
      <c r="E17" s="77"/>
      <c r="F17" s="78"/>
      <c r="G17" s="80" t="s">
        <v>957</v>
      </c>
      <c r="H17" s="92"/>
      <c r="I17" s="92"/>
      <c r="J17" s="322" t="s">
        <v>98</v>
      </c>
      <c r="K17" s="1156"/>
      <c r="L17" s="1190"/>
      <c r="M17" s="1191"/>
    </row>
    <row r="18" spans="1:19" ht="15.6" customHeight="1">
      <c r="A18" s="1147"/>
      <c r="B18" s="1066" t="s">
        <v>658</v>
      </c>
      <c r="C18" s="76" t="s">
        <v>662</v>
      </c>
      <c r="D18" s="77"/>
      <c r="E18" s="77"/>
      <c r="F18" s="81" t="s">
        <v>659</v>
      </c>
      <c r="G18" s="82" t="s">
        <v>660</v>
      </c>
      <c r="J18" s="152" t="s">
        <v>777</v>
      </c>
      <c r="K18" s="1156"/>
      <c r="L18" s="1291"/>
      <c r="M18" s="1292"/>
      <c r="N18" s="1118"/>
    </row>
    <row r="19" spans="1:19" ht="15.6" customHeight="1" thickBot="1">
      <c r="A19" s="1148"/>
      <c r="B19" s="1119"/>
      <c r="C19" s="1070"/>
      <c r="D19" s="1072"/>
      <c r="E19" s="1072"/>
      <c r="F19" s="78"/>
      <c r="G19" s="80" t="s">
        <v>960</v>
      </c>
      <c r="H19" s="92"/>
      <c r="I19" s="92"/>
      <c r="J19" s="322" t="s">
        <v>98</v>
      </c>
      <c r="K19" s="1157"/>
      <c r="L19" s="1158"/>
      <c r="M19" s="1153"/>
      <c r="N19" s="1118"/>
    </row>
    <row r="20" spans="1:19" ht="15.75" customHeight="1">
      <c r="A20" s="1075" t="s">
        <v>961</v>
      </c>
      <c r="B20" s="1075"/>
      <c r="C20" s="1075"/>
      <c r="D20" s="1075"/>
      <c r="E20" s="1075"/>
      <c r="F20" s="1075"/>
      <c r="G20" s="1075"/>
      <c r="H20" s="1075"/>
      <c r="I20" s="1075"/>
      <c r="J20" s="1075"/>
      <c r="K20" s="1075"/>
      <c r="L20" s="1075"/>
    </row>
    <row r="21" spans="1:19" ht="19.5" customHeight="1">
      <c r="A21" s="1146">
        <v>3</v>
      </c>
      <c r="B21" s="1177" t="s">
        <v>637</v>
      </c>
      <c r="C21" s="1177"/>
      <c r="D21" s="1177"/>
      <c r="E21" s="1177"/>
      <c r="F21" s="1177"/>
      <c r="G21" s="1177"/>
      <c r="H21" s="1177"/>
      <c r="I21" s="1177"/>
      <c r="J21" s="1177"/>
      <c r="K21" s="1177"/>
      <c r="L21" s="1078"/>
      <c r="M21" s="1080"/>
      <c r="R21"/>
      <c r="S21"/>
    </row>
    <row r="22" spans="1:19" ht="15.6" customHeight="1">
      <c r="A22" s="1147"/>
      <c r="B22" s="1066" t="s">
        <v>17</v>
      </c>
      <c r="C22" s="76" t="s">
        <v>807</v>
      </c>
      <c r="F22" s="81" t="s">
        <v>635</v>
      </c>
      <c r="G22" s="82" t="s">
        <v>786</v>
      </c>
      <c r="H22" s="82"/>
      <c r="I22" s="77"/>
      <c r="J22" s="261" t="s">
        <v>99</v>
      </c>
      <c r="K22" s="1155" t="s">
        <v>19</v>
      </c>
      <c r="L22" s="1323"/>
      <c r="M22" s="1324"/>
      <c r="R22"/>
      <c r="S22"/>
    </row>
    <row r="23" spans="1:19" ht="15.6" customHeight="1">
      <c r="A23" s="1147"/>
      <c r="D23" s="1120"/>
      <c r="F23" s="81"/>
      <c r="G23" s="82" t="s">
        <v>760</v>
      </c>
      <c r="H23" s="82"/>
      <c r="I23" s="77"/>
      <c r="J23" s="261" t="s">
        <v>99</v>
      </c>
      <c r="K23" s="1156"/>
      <c r="L23" s="1309"/>
      <c r="M23" s="1310"/>
    </row>
    <row r="24" spans="1:19" ht="15.6" customHeight="1">
      <c r="A24" s="1147"/>
      <c r="C24" s="1121" t="s">
        <v>916</v>
      </c>
      <c r="D24" s="1122"/>
      <c r="E24" s="1122"/>
      <c r="F24" s="81"/>
      <c r="G24" s="82" t="s">
        <v>787</v>
      </c>
      <c r="H24" s="82"/>
      <c r="I24" s="77"/>
      <c r="J24" s="581" t="s">
        <v>906</v>
      </c>
      <c r="K24" s="1156"/>
      <c r="L24" s="1240"/>
      <c r="M24" s="1241"/>
    </row>
    <row r="25" spans="1:19" ht="15.6" customHeight="1">
      <c r="A25" s="1147"/>
      <c r="B25" s="1123"/>
      <c r="C25" s="77" t="s">
        <v>917</v>
      </c>
      <c r="D25" s="1122"/>
      <c r="E25" s="1122"/>
      <c r="F25" s="81"/>
      <c r="G25" s="82" t="s">
        <v>788</v>
      </c>
      <c r="H25" s="82"/>
      <c r="I25" s="77"/>
      <c r="J25" s="581" t="s">
        <v>906</v>
      </c>
      <c r="K25" s="1156"/>
      <c r="L25" s="1240"/>
      <c r="M25" s="1241"/>
    </row>
    <row r="26" spans="1:19" ht="15.6" customHeight="1">
      <c r="A26" s="1147"/>
      <c r="B26" s="1075"/>
      <c r="F26" s="81"/>
      <c r="G26" s="82" t="s">
        <v>825</v>
      </c>
      <c r="H26" s="82"/>
      <c r="I26" s="77"/>
      <c r="J26" s="261"/>
      <c r="K26" s="1156"/>
      <c r="L26" s="1151"/>
      <c r="M26" s="1152"/>
    </row>
    <row r="27" spans="1:19" ht="15.6" customHeight="1">
      <c r="A27" s="1147"/>
      <c r="B27" s="1075"/>
      <c r="C27" s="2"/>
      <c r="F27" s="81"/>
      <c r="G27" s="82" t="s">
        <v>826</v>
      </c>
      <c r="H27" s="82"/>
      <c r="I27" s="77"/>
      <c r="J27" s="261" t="s">
        <v>99</v>
      </c>
      <c r="K27" s="1156"/>
      <c r="L27" s="1151"/>
      <c r="M27" s="1152"/>
    </row>
    <row r="28" spans="1:19" ht="15.6" customHeight="1" thickBot="1">
      <c r="A28" s="1147"/>
      <c r="B28" s="1075"/>
      <c r="C28" s="2"/>
      <c r="F28" s="79"/>
      <c r="G28" s="80" t="s">
        <v>834</v>
      </c>
      <c r="H28" s="80"/>
      <c r="I28" s="78"/>
      <c r="J28" s="325" t="s">
        <v>99</v>
      </c>
      <c r="K28" s="1156"/>
      <c r="L28" s="1153"/>
      <c r="M28" s="1154"/>
    </row>
    <row r="29" spans="1:19" ht="15.6" customHeight="1" thickBot="1">
      <c r="A29" s="1147"/>
      <c r="B29" s="1066" t="s">
        <v>17</v>
      </c>
      <c r="C29" s="1137" t="s">
        <v>877</v>
      </c>
      <c r="D29" s="1319"/>
      <c r="E29" s="1319"/>
      <c r="F29" s="79" t="s">
        <v>636</v>
      </c>
      <c r="G29" s="80" t="s">
        <v>110</v>
      </c>
      <c r="H29" s="149"/>
      <c r="I29" s="149"/>
      <c r="J29" s="325" t="s">
        <v>174</v>
      </c>
      <c r="K29" s="1156"/>
      <c r="L29" s="1320"/>
      <c r="M29" s="1321"/>
    </row>
    <row r="30" spans="1:19" ht="15.6" customHeight="1">
      <c r="A30" s="1147"/>
      <c r="C30" s="1319"/>
      <c r="D30" s="1319"/>
      <c r="E30" s="1319"/>
      <c r="F30" s="81" t="s">
        <v>638</v>
      </c>
      <c r="G30" s="82" t="s">
        <v>759</v>
      </c>
      <c r="H30" s="82"/>
      <c r="I30" s="77"/>
      <c r="J30" s="261" t="s">
        <v>99</v>
      </c>
      <c r="K30" s="1156"/>
      <c r="L30" s="1149"/>
      <c r="M30" s="1150"/>
    </row>
    <row r="31" spans="1:19" ht="15.6" customHeight="1">
      <c r="A31" s="1147"/>
      <c r="B31" s="1075"/>
      <c r="C31" s="1319"/>
      <c r="D31" s="1319"/>
      <c r="E31" s="1319"/>
      <c r="F31" s="81"/>
      <c r="G31" s="82" t="s">
        <v>760</v>
      </c>
      <c r="H31" s="82"/>
      <c r="I31" s="77"/>
      <c r="J31" s="261" t="s">
        <v>99</v>
      </c>
      <c r="K31" s="1156"/>
      <c r="L31" s="1262"/>
      <c r="M31" s="1263"/>
    </row>
    <row r="32" spans="1:19" ht="15.6" customHeight="1">
      <c r="A32" s="1147"/>
      <c r="F32" s="81"/>
      <c r="G32" s="82" t="s">
        <v>789</v>
      </c>
      <c r="H32" s="82"/>
      <c r="I32" s="77"/>
      <c r="J32" s="581" t="s">
        <v>99</v>
      </c>
      <c r="K32" s="1156"/>
      <c r="L32" s="1159"/>
      <c r="M32" s="1160"/>
    </row>
    <row r="33" spans="1:19" ht="15.6" customHeight="1">
      <c r="A33" s="1147"/>
      <c r="B33" s="1075"/>
      <c r="C33" s="2"/>
      <c r="F33" s="82"/>
      <c r="G33" s="82" t="s">
        <v>790</v>
      </c>
      <c r="H33" s="82"/>
      <c r="I33" s="77"/>
      <c r="J33" s="581" t="s">
        <v>99</v>
      </c>
      <c r="K33" s="1156"/>
      <c r="L33" s="1264"/>
      <c r="M33" s="1265"/>
    </row>
    <row r="34" spans="1:19" ht="15.6" customHeight="1">
      <c r="A34" s="1147"/>
      <c r="B34" s="1075"/>
      <c r="C34" s="2"/>
      <c r="F34" s="82"/>
      <c r="G34" s="82" t="s">
        <v>89</v>
      </c>
      <c r="H34" s="82"/>
      <c r="I34" s="77"/>
      <c r="J34" s="261" t="s">
        <v>99</v>
      </c>
      <c r="K34" s="1156"/>
      <c r="L34" s="1159"/>
      <c r="M34" s="1160"/>
    </row>
    <row r="35" spans="1:19" ht="15.6" customHeight="1" thickBot="1">
      <c r="A35" s="1147"/>
      <c r="B35" s="1075"/>
      <c r="C35" s="2"/>
      <c r="F35" s="80"/>
      <c r="G35" s="80" t="s">
        <v>90</v>
      </c>
      <c r="H35" s="80"/>
      <c r="I35" s="78"/>
      <c r="J35" s="325" t="s">
        <v>99</v>
      </c>
      <c r="K35" s="1156"/>
      <c r="L35" s="1196"/>
      <c r="M35" s="1162"/>
    </row>
    <row r="36" spans="1:19" ht="15.6" customHeight="1">
      <c r="A36" s="1147"/>
      <c r="B36" s="1066" t="s">
        <v>658</v>
      </c>
      <c r="C36" s="76" t="s">
        <v>662</v>
      </c>
      <c r="F36" s="81" t="s">
        <v>659</v>
      </c>
      <c r="G36" s="82" t="s">
        <v>663</v>
      </c>
      <c r="H36" s="82"/>
      <c r="I36" s="77"/>
      <c r="J36" s="261" t="s">
        <v>99</v>
      </c>
      <c r="K36" s="1156"/>
      <c r="L36" s="1318"/>
      <c r="M36" s="1150"/>
      <c r="N36" s="1118"/>
    </row>
    <row r="37" spans="1:19" ht="15.6" customHeight="1">
      <c r="A37" s="1147"/>
      <c r="B37" s="1075"/>
      <c r="C37" s="2"/>
      <c r="F37" s="81"/>
      <c r="G37" s="82" t="s">
        <v>664</v>
      </c>
      <c r="H37" s="82"/>
      <c r="I37" s="77"/>
      <c r="J37" s="581" t="s">
        <v>776</v>
      </c>
      <c r="K37" s="1156"/>
      <c r="L37" s="1304"/>
      <c r="M37" s="1263"/>
      <c r="N37" s="1118"/>
    </row>
    <row r="38" spans="1:19" ht="15.6" customHeight="1">
      <c r="A38" s="1147"/>
      <c r="B38" s="1075"/>
      <c r="C38" s="2"/>
      <c r="F38" s="81"/>
      <c r="G38" s="82" t="s">
        <v>841</v>
      </c>
      <c r="H38" s="82"/>
      <c r="I38" s="77"/>
      <c r="J38" s="581" t="s">
        <v>99</v>
      </c>
      <c r="K38" s="1156"/>
      <c r="L38" s="1304"/>
      <c r="M38" s="1263"/>
      <c r="N38" s="1118"/>
    </row>
    <row r="39" spans="1:19" ht="15.6" customHeight="1" thickBot="1">
      <c r="A39" s="1148"/>
      <c r="B39" s="1076"/>
      <c r="C39" s="27"/>
      <c r="D39" s="1070"/>
      <c r="E39" s="1070"/>
      <c r="F39" s="80"/>
      <c r="G39" s="80" t="s">
        <v>834</v>
      </c>
      <c r="H39" s="80"/>
      <c r="I39" s="78"/>
      <c r="J39" s="325" t="s">
        <v>99</v>
      </c>
      <c r="K39" s="1157"/>
      <c r="L39" s="1158"/>
      <c r="M39" s="1154"/>
      <c r="N39" s="1118"/>
    </row>
    <row r="40" spans="1:19" ht="15" customHeight="1">
      <c r="A40" s="76"/>
      <c r="B40" s="76"/>
      <c r="C40" s="76"/>
      <c r="D40" s="76"/>
      <c r="E40" s="76"/>
      <c r="F40" s="76"/>
      <c r="G40" s="76"/>
      <c r="H40" s="76"/>
      <c r="I40" s="76"/>
      <c r="J40" s="76"/>
      <c r="K40" s="76"/>
      <c r="L40" s="76"/>
      <c r="M40" s="10"/>
    </row>
    <row r="41" spans="1:19" ht="4.9000000000000004" customHeight="1"/>
    <row r="42" spans="1:19" ht="21" customHeight="1">
      <c r="A42" s="1146">
        <v>4</v>
      </c>
      <c r="B42" s="1091" t="s">
        <v>420</v>
      </c>
      <c r="C42" s="28"/>
      <c r="D42" s="28"/>
      <c r="E42" s="28"/>
      <c r="F42" s="28"/>
      <c r="G42" s="28"/>
      <c r="H42" s="28"/>
      <c r="I42" s="28"/>
      <c r="J42" s="1092"/>
      <c r="K42" s="1062" t="s">
        <v>18</v>
      </c>
      <c r="L42" s="1308"/>
      <c r="M42" s="1308"/>
    </row>
    <row r="43" spans="1:19" ht="21" customHeight="1">
      <c r="A43" s="1148"/>
      <c r="B43" s="1091" t="s">
        <v>449</v>
      </c>
      <c r="C43" s="28"/>
      <c r="D43" s="28"/>
      <c r="E43" s="28"/>
      <c r="F43" s="28"/>
      <c r="G43" s="28"/>
      <c r="H43" s="28"/>
      <c r="I43" s="28"/>
      <c r="J43" s="1092"/>
      <c r="K43" s="1062" t="s">
        <v>18</v>
      </c>
      <c r="L43" s="1308"/>
      <c r="M43" s="1308"/>
      <c r="P43" s="7" t="s">
        <v>800</v>
      </c>
    </row>
    <row r="44" spans="1:19" ht="4.9000000000000004" customHeight="1">
      <c r="J44" s="1093"/>
      <c r="K44" s="1093"/>
    </row>
    <row r="45" spans="1:19" ht="19.5" customHeight="1">
      <c r="A45" s="1146">
        <v>5</v>
      </c>
      <c r="B45" s="1060" t="s">
        <v>966</v>
      </c>
      <c r="C45" s="1064"/>
      <c r="D45" s="1064"/>
      <c r="E45" s="1064"/>
      <c r="F45" s="1064"/>
      <c r="G45" s="1064"/>
      <c r="H45" s="1064"/>
      <c r="I45" s="1064"/>
      <c r="J45" s="1065"/>
      <c r="K45" s="1078"/>
      <c r="L45" s="1094"/>
      <c r="M45" s="1095"/>
      <c r="N45" s="86" t="s">
        <v>470</v>
      </c>
      <c r="R45"/>
      <c r="S45"/>
    </row>
    <row r="46" spans="1:19" ht="15.6" customHeight="1">
      <c r="A46" s="1147"/>
      <c r="B46" s="1066" t="s">
        <v>17</v>
      </c>
      <c r="C46" s="76" t="s">
        <v>806</v>
      </c>
      <c r="D46" s="2"/>
      <c r="E46" s="2"/>
      <c r="F46" s="81" t="s">
        <v>635</v>
      </c>
      <c r="G46" s="82" t="s">
        <v>759</v>
      </c>
      <c r="H46" s="82"/>
      <c r="I46" s="77"/>
      <c r="J46" s="261" t="s">
        <v>99</v>
      </c>
      <c r="K46" s="1303" t="s">
        <v>412</v>
      </c>
      <c r="L46" s="1240"/>
      <c r="M46" s="1241"/>
      <c r="R46" s="1096"/>
      <c r="S46" s="1096"/>
    </row>
    <row r="47" spans="1:19" ht="15.6" customHeight="1">
      <c r="A47" s="1147"/>
      <c r="B47" s="76"/>
      <c r="C47" s="82"/>
      <c r="D47" s="2"/>
      <c r="E47" s="2"/>
      <c r="F47" s="81"/>
      <c r="G47" s="82" t="s">
        <v>760</v>
      </c>
      <c r="H47" s="82"/>
      <c r="I47" s="77"/>
      <c r="J47" s="261" t="s">
        <v>99</v>
      </c>
      <c r="K47" s="1303"/>
      <c r="L47" s="1240"/>
      <c r="M47" s="1241"/>
      <c r="R47" s="1096"/>
      <c r="S47" s="1096"/>
    </row>
    <row r="48" spans="1:19" ht="15.6" customHeight="1">
      <c r="A48" s="1147"/>
      <c r="B48" s="76"/>
      <c r="C48" s="2"/>
      <c r="D48" s="2"/>
      <c r="E48" s="2"/>
      <c r="F48" s="81"/>
      <c r="G48" s="82" t="s">
        <v>787</v>
      </c>
      <c r="H48" s="82"/>
      <c r="I48" s="77"/>
      <c r="J48" s="261" t="s">
        <v>791</v>
      </c>
      <c r="K48" s="1303"/>
      <c r="L48" s="1240"/>
      <c r="M48" s="1241"/>
      <c r="R48" s="1096"/>
      <c r="S48" s="1096"/>
    </row>
    <row r="49" spans="1:19" ht="15.6" customHeight="1">
      <c r="A49" s="1147"/>
      <c r="B49" s="76"/>
      <c r="C49" s="2"/>
      <c r="D49" s="2"/>
      <c r="E49" s="2"/>
      <c r="F49" s="81"/>
      <c r="G49" s="82" t="s">
        <v>788</v>
      </c>
      <c r="H49" s="82"/>
      <c r="I49" s="77"/>
      <c r="J49" s="261" t="s">
        <v>791</v>
      </c>
      <c r="K49" s="1303"/>
      <c r="L49" s="1240"/>
      <c r="M49" s="1241"/>
      <c r="R49" s="1096"/>
      <c r="S49" s="1096"/>
    </row>
    <row r="50" spans="1:19" ht="15.6" customHeight="1">
      <c r="A50" s="1147"/>
      <c r="B50" s="76"/>
      <c r="C50" s="2"/>
      <c r="D50" s="2"/>
      <c r="E50" s="2"/>
      <c r="F50" s="81"/>
      <c r="G50" s="82" t="s">
        <v>827</v>
      </c>
      <c r="H50" s="82"/>
      <c r="I50" s="77"/>
      <c r="J50" s="261" t="s">
        <v>99</v>
      </c>
      <c r="K50" s="1303"/>
      <c r="L50" s="1255"/>
      <c r="M50" s="1256"/>
      <c r="R50" s="1096"/>
      <c r="S50" s="1096"/>
    </row>
    <row r="51" spans="1:19" ht="15.6" customHeight="1">
      <c r="A51" s="1147"/>
      <c r="B51" s="76"/>
      <c r="C51" s="2"/>
      <c r="D51" s="2"/>
      <c r="E51" s="2"/>
      <c r="F51" s="81"/>
      <c r="G51" s="82" t="s">
        <v>826</v>
      </c>
      <c r="H51" s="82"/>
      <c r="I51" s="77"/>
      <c r="J51" s="261" t="s">
        <v>99</v>
      </c>
      <c r="K51" s="1303"/>
      <c r="L51" s="1151"/>
      <c r="M51" s="1152"/>
      <c r="R51" s="1096"/>
      <c r="S51" s="1096"/>
    </row>
    <row r="52" spans="1:19" ht="15.6" customHeight="1" thickBot="1">
      <c r="A52" s="1147"/>
      <c r="B52" s="76"/>
      <c r="C52" s="2"/>
      <c r="D52" s="2"/>
      <c r="E52" s="2"/>
      <c r="F52" s="79"/>
      <c r="G52" s="80" t="s">
        <v>834</v>
      </c>
      <c r="H52" s="80"/>
      <c r="I52" s="78"/>
      <c r="J52" s="325" t="s">
        <v>99</v>
      </c>
      <c r="K52" s="1303"/>
      <c r="L52" s="1306"/>
      <c r="M52" s="1294"/>
      <c r="R52" s="1096"/>
      <c r="S52" s="1096"/>
    </row>
    <row r="53" spans="1:19" ht="15.6" customHeight="1" thickBot="1">
      <c r="A53" s="1147"/>
      <c r="D53" s="2"/>
      <c r="E53" s="2"/>
      <c r="F53" s="290" t="s">
        <v>636</v>
      </c>
      <c r="G53" s="80" t="s">
        <v>110</v>
      </c>
      <c r="H53" s="149"/>
      <c r="I53" s="149"/>
      <c r="J53" s="325" t="s">
        <v>174</v>
      </c>
      <c r="K53" s="1303"/>
      <c r="L53" s="1260"/>
      <c r="M53" s="1261"/>
      <c r="R53" s="1096"/>
      <c r="S53" s="1096"/>
    </row>
    <row r="54" spans="1:19" ht="15.6" customHeight="1">
      <c r="A54" s="1147"/>
      <c r="B54" s="1068" t="s">
        <v>17</v>
      </c>
      <c r="C54" s="76" t="s">
        <v>645</v>
      </c>
      <c r="D54" s="2"/>
      <c r="E54" s="2"/>
      <c r="F54" s="81" t="s">
        <v>638</v>
      </c>
      <c r="G54" s="82" t="s">
        <v>759</v>
      </c>
      <c r="H54" s="82"/>
      <c r="I54" s="82"/>
      <c r="J54" s="261" t="s">
        <v>99</v>
      </c>
      <c r="K54" s="1303"/>
      <c r="L54" s="1149"/>
      <c r="M54" s="1150"/>
      <c r="R54" s="1096"/>
      <c r="S54" s="1096"/>
    </row>
    <row r="55" spans="1:19" ht="15.6" customHeight="1">
      <c r="A55" s="1147"/>
      <c r="B55" s="76"/>
      <c r="C55" s="77"/>
      <c r="D55" s="2"/>
      <c r="E55" s="2"/>
      <c r="F55" s="81"/>
      <c r="G55" s="82" t="s">
        <v>760</v>
      </c>
      <c r="H55" s="82"/>
      <c r="I55" s="82"/>
      <c r="J55" s="261" t="s">
        <v>99</v>
      </c>
      <c r="K55" s="1303"/>
      <c r="L55" s="1262"/>
      <c r="M55" s="1263"/>
      <c r="R55" s="1096"/>
      <c r="S55" s="1096"/>
    </row>
    <row r="56" spans="1:19" ht="15.6" customHeight="1">
      <c r="A56" s="1147"/>
      <c r="F56" s="81"/>
      <c r="G56" s="82" t="s">
        <v>757</v>
      </c>
      <c r="H56" s="82"/>
      <c r="I56" s="77"/>
      <c r="J56" s="261" t="s">
        <v>99</v>
      </c>
      <c r="K56" s="1303"/>
      <c r="L56" s="1159"/>
      <c r="M56" s="1160"/>
    </row>
    <row r="57" spans="1:19" ht="15.6" customHeight="1">
      <c r="A57" s="1147"/>
      <c r="B57" s="1075"/>
      <c r="C57" s="82"/>
      <c r="F57" s="82"/>
      <c r="G57" s="82" t="s">
        <v>758</v>
      </c>
      <c r="H57" s="82"/>
      <c r="I57" s="77"/>
      <c r="J57" s="261" t="s">
        <v>99</v>
      </c>
      <c r="K57" s="1303"/>
      <c r="L57" s="1264"/>
      <c r="M57" s="1265"/>
    </row>
    <row r="58" spans="1:19" ht="15.6" customHeight="1">
      <c r="A58" s="1147"/>
      <c r="B58" s="1075"/>
      <c r="C58" s="2"/>
      <c r="F58" s="82"/>
      <c r="G58" s="82" t="s">
        <v>89</v>
      </c>
      <c r="H58" s="82"/>
      <c r="I58" s="77"/>
      <c r="J58" s="261" t="s">
        <v>99</v>
      </c>
      <c r="K58" s="1303"/>
      <c r="L58" s="1159"/>
      <c r="M58" s="1160"/>
    </row>
    <row r="59" spans="1:19" ht="15.6" customHeight="1" thickBot="1">
      <c r="A59" s="1147"/>
      <c r="B59" s="1075"/>
      <c r="C59" s="2"/>
      <c r="F59" s="80"/>
      <c r="G59" s="80" t="s">
        <v>90</v>
      </c>
      <c r="H59" s="80"/>
      <c r="I59" s="78"/>
      <c r="J59" s="325" t="s">
        <v>99</v>
      </c>
      <c r="K59" s="1303"/>
      <c r="L59" s="1140"/>
      <c r="M59" s="1141"/>
    </row>
    <row r="60" spans="1:19" ht="15.6" customHeight="1">
      <c r="A60" s="1147"/>
      <c r="B60" s="1066" t="s">
        <v>17</v>
      </c>
      <c r="C60" s="1121" t="s">
        <v>646</v>
      </c>
      <c r="D60" s="152"/>
      <c r="E60" s="77"/>
      <c r="F60" s="81" t="s">
        <v>639</v>
      </c>
      <c r="G60" s="82" t="s">
        <v>759</v>
      </c>
      <c r="H60" s="82"/>
      <c r="I60" s="82"/>
      <c r="J60" s="261" t="s">
        <v>99</v>
      </c>
      <c r="K60" s="1303"/>
      <c r="L60" s="1307"/>
      <c r="M60" s="1189"/>
      <c r="P60"/>
      <c r="Q60"/>
    </row>
    <row r="61" spans="1:19" ht="15.6" customHeight="1">
      <c r="A61" s="1147"/>
      <c r="B61" s="1075"/>
      <c r="C61" s="77"/>
      <c r="D61" s="152"/>
      <c r="E61" s="77"/>
      <c r="F61" s="81"/>
      <c r="G61" s="82" t="s">
        <v>760</v>
      </c>
      <c r="H61" s="82"/>
      <c r="I61" s="82"/>
      <c r="J61" s="261" t="s">
        <v>99</v>
      </c>
      <c r="K61" s="1303"/>
      <c r="L61" s="1305"/>
      <c r="M61" s="1167"/>
      <c r="P61"/>
      <c r="Q61"/>
    </row>
    <row r="62" spans="1:19" ht="15.6" customHeight="1">
      <c r="A62" s="1147"/>
      <c r="B62" s="1075"/>
      <c r="C62" s="2"/>
      <c r="D62" s="152"/>
      <c r="E62" s="77"/>
      <c r="F62" s="81"/>
      <c r="G62" s="82" t="s">
        <v>761</v>
      </c>
      <c r="H62" s="82"/>
      <c r="I62" s="82"/>
      <c r="J62" s="261" t="s">
        <v>99</v>
      </c>
      <c r="K62" s="1303"/>
      <c r="L62" s="1305"/>
      <c r="M62" s="1167"/>
      <c r="P62"/>
      <c r="Q62"/>
    </row>
    <row r="63" spans="1:19" ht="15.6" customHeight="1" thickBot="1">
      <c r="A63" s="1147"/>
      <c r="B63" s="1075"/>
      <c r="C63" s="2"/>
      <c r="D63" s="152"/>
      <c r="E63" s="77"/>
      <c r="F63" s="79"/>
      <c r="G63" s="80" t="s">
        <v>762</v>
      </c>
      <c r="H63" s="80"/>
      <c r="I63" s="80"/>
      <c r="J63" s="325" t="s">
        <v>99</v>
      </c>
      <c r="K63" s="1303"/>
      <c r="L63" s="1325"/>
      <c r="M63" s="1191"/>
      <c r="P63"/>
      <c r="Q63"/>
    </row>
    <row r="64" spans="1:19" ht="15.6" customHeight="1">
      <c r="A64" s="1147"/>
      <c r="B64" s="1068" t="s">
        <v>17</v>
      </c>
      <c r="C64" s="1137" t="s">
        <v>808</v>
      </c>
      <c r="D64" s="1137"/>
      <c r="E64" s="1137"/>
      <c r="F64" s="81" t="s">
        <v>640</v>
      </c>
      <c r="G64" s="82" t="s">
        <v>759</v>
      </c>
      <c r="H64" s="82"/>
      <c r="I64" s="82"/>
      <c r="J64" s="261" t="s">
        <v>99</v>
      </c>
      <c r="K64" s="1303"/>
      <c r="L64" s="1149"/>
      <c r="M64" s="1150"/>
    </row>
    <row r="65" spans="1:19" ht="15.6" customHeight="1">
      <c r="A65" s="1147"/>
      <c r="B65" s="1075"/>
      <c r="C65" s="1137"/>
      <c r="D65" s="1137"/>
      <c r="E65" s="1137"/>
      <c r="F65" s="81"/>
      <c r="G65" s="82" t="s">
        <v>760</v>
      </c>
      <c r="H65" s="82"/>
      <c r="I65" s="82"/>
      <c r="J65" s="261" t="s">
        <v>99</v>
      </c>
      <c r="K65" s="1303"/>
      <c r="L65" s="1151"/>
      <c r="M65" s="1152"/>
    </row>
    <row r="66" spans="1:19" ht="15.6" customHeight="1">
      <c r="A66" s="1147"/>
      <c r="B66" s="1075"/>
      <c r="C66" s="77"/>
      <c r="D66" s="152"/>
      <c r="E66" s="77"/>
      <c r="F66" s="81"/>
      <c r="G66" s="82" t="s">
        <v>761</v>
      </c>
      <c r="H66" s="82"/>
      <c r="I66" s="82"/>
      <c r="J66" s="261" t="s">
        <v>99</v>
      </c>
      <c r="K66" s="1303"/>
      <c r="L66" s="1151"/>
      <c r="M66" s="1152"/>
    </row>
    <row r="67" spans="1:19" ht="15.6" customHeight="1">
      <c r="A67" s="1147"/>
      <c r="B67" s="1075"/>
      <c r="C67" s="2"/>
      <c r="D67" s="152"/>
      <c r="E67" s="77"/>
      <c r="F67" s="81"/>
      <c r="G67" s="82" t="s">
        <v>762</v>
      </c>
      <c r="H67" s="82"/>
      <c r="I67" s="82"/>
      <c r="J67" s="261" t="s">
        <v>99</v>
      </c>
      <c r="K67" s="1303"/>
      <c r="L67" s="1151"/>
      <c r="M67" s="1152"/>
    </row>
    <row r="68" spans="1:19" ht="15.6" customHeight="1">
      <c r="A68" s="1147"/>
      <c r="B68" s="76"/>
      <c r="C68" s="2"/>
      <c r="D68" s="2"/>
      <c r="E68" s="2"/>
      <c r="F68" s="81"/>
      <c r="G68" s="82" t="s">
        <v>827</v>
      </c>
      <c r="H68" s="82"/>
      <c r="I68" s="77"/>
      <c r="J68" s="261" t="s">
        <v>99</v>
      </c>
      <c r="K68" s="1303"/>
      <c r="L68" s="1253"/>
      <c r="M68" s="1254"/>
      <c r="R68" s="1096"/>
      <c r="S68" s="1096"/>
    </row>
    <row r="69" spans="1:19" ht="15.6" customHeight="1">
      <c r="A69" s="1147"/>
      <c r="B69" s="76"/>
      <c r="C69" s="2"/>
      <c r="D69" s="2"/>
      <c r="E69" s="2"/>
      <c r="F69" s="81"/>
      <c r="G69" s="82" t="s">
        <v>826</v>
      </c>
      <c r="H69" s="82"/>
      <c r="I69" s="77"/>
      <c r="J69" s="261" t="s">
        <v>99</v>
      </c>
      <c r="K69" s="1303"/>
      <c r="L69" s="1151"/>
      <c r="M69" s="1152"/>
      <c r="R69" s="1096"/>
      <c r="S69" s="1096"/>
    </row>
    <row r="70" spans="1:19" ht="15.6" customHeight="1">
      <c r="A70" s="1147"/>
      <c r="B70" s="76"/>
      <c r="C70" s="2"/>
      <c r="D70" s="2"/>
      <c r="E70" s="2"/>
      <c r="F70" s="81"/>
      <c r="G70" s="82" t="s">
        <v>834</v>
      </c>
      <c r="H70" s="82"/>
      <c r="I70" s="77"/>
      <c r="J70" s="261" t="s">
        <v>99</v>
      </c>
      <c r="K70" s="1303"/>
      <c r="L70" s="1151"/>
      <c r="M70" s="1152"/>
      <c r="R70" s="1096"/>
      <c r="S70" s="1096"/>
    </row>
    <row r="71" spans="1:19" ht="15.6" customHeight="1" thickBot="1">
      <c r="A71" s="1147"/>
      <c r="B71" s="76"/>
      <c r="C71" s="2"/>
      <c r="D71" s="2"/>
      <c r="E71" s="2"/>
      <c r="F71" s="79"/>
      <c r="G71" s="80" t="s">
        <v>967</v>
      </c>
      <c r="H71" s="80"/>
      <c r="I71" s="78"/>
      <c r="J71" s="325" t="s">
        <v>99</v>
      </c>
      <c r="K71" s="1303"/>
      <c r="L71" s="1293"/>
      <c r="M71" s="1294"/>
      <c r="R71" s="1096"/>
      <c r="S71" s="1096"/>
    </row>
    <row r="72" spans="1:19" ht="15.6" customHeight="1">
      <c r="A72" s="1147"/>
      <c r="B72" s="1066" t="s">
        <v>658</v>
      </c>
      <c r="C72" s="76" t="s">
        <v>953</v>
      </c>
      <c r="D72" s="2"/>
      <c r="E72" s="2"/>
      <c r="F72" s="81" t="s">
        <v>665</v>
      </c>
      <c r="G72" s="82" t="s">
        <v>663</v>
      </c>
      <c r="H72" s="82"/>
      <c r="I72" s="77"/>
      <c r="J72" s="261" t="s">
        <v>99</v>
      </c>
      <c r="K72" s="1303"/>
      <c r="L72" s="1291"/>
      <c r="M72" s="1322"/>
      <c r="N72" s="1118"/>
      <c r="R72" s="1096"/>
      <c r="S72" s="1096"/>
    </row>
    <row r="73" spans="1:19" ht="15.6" customHeight="1">
      <c r="A73" s="1147"/>
      <c r="B73" s="76"/>
      <c r="C73" s="2"/>
      <c r="D73" s="2"/>
      <c r="E73" s="2"/>
      <c r="F73" s="81"/>
      <c r="G73" s="82" t="s">
        <v>763</v>
      </c>
      <c r="H73" s="82"/>
      <c r="I73" s="77"/>
      <c r="J73" s="261" t="s">
        <v>99</v>
      </c>
      <c r="K73" s="1303"/>
      <c r="L73" s="1304"/>
      <c r="M73" s="1263"/>
      <c r="N73" s="1118"/>
      <c r="R73" s="1096"/>
      <c r="S73" s="1096"/>
    </row>
    <row r="74" spans="1:19" ht="15.6" customHeight="1">
      <c r="A74" s="1147"/>
      <c r="B74" s="76"/>
      <c r="C74" s="2"/>
      <c r="D74" s="2"/>
      <c r="E74" s="147"/>
      <c r="F74" s="81"/>
      <c r="G74" s="82" t="s">
        <v>842</v>
      </c>
      <c r="H74" s="82"/>
      <c r="I74" s="77"/>
      <c r="J74" s="261" t="s">
        <v>99</v>
      </c>
      <c r="K74" s="1303"/>
      <c r="L74" s="1304"/>
      <c r="M74" s="1263"/>
      <c r="N74" s="1118"/>
      <c r="R74" s="1096"/>
      <c r="S74" s="1096"/>
    </row>
    <row r="75" spans="1:19" ht="15.6" customHeight="1" thickBot="1">
      <c r="A75" s="1148"/>
      <c r="B75" s="1124"/>
      <c r="C75" s="27"/>
      <c r="D75" s="27"/>
      <c r="E75" s="27"/>
      <c r="F75" s="79"/>
      <c r="G75" s="80" t="s">
        <v>834</v>
      </c>
      <c r="H75" s="80"/>
      <c r="I75" s="78"/>
      <c r="J75" s="325" t="s">
        <v>99</v>
      </c>
      <c r="K75" s="1303"/>
      <c r="L75" s="1158"/>
      <c r="M75" s="1154"/>
      <c r="N75" s="1118"/>
      <c r="R75" s="1096"/>
      <c r="S75" s="1096"/>
    </row>
    <row r="76" spans="1:19" ht="15.6" hidden="1" customHeight="1">
      <c r="A76" s="1125"/>
      <c r="B76" s="1076"/>
      <c r="C76" s="27"/>
      <c r="D76" s="1071"/>
      <c r="E76" s="1072"/>
      <c r="F76" s="154"/>
      <c r="G76" s="155"/>
      <c r="H76" s="155"/>
      <c r="I76" s="1126"/>
      <c r="J76" s="1127"/>
      <c r="K76" s="1128" t="s">
        <v>142</v>
      </c>
      <c r="L76" s="1316"/>
      <c r="M76" s="1317"/>
    </row>
    <row r="77" spans="1:19" s="1069" customFormat="1" ht="16.5" customHeight="1">
      <c r="A77" s="76" t="s">
        <v>969</v>
      </c>
      <c r="N77" s="152"/>
      <c r="R77"/>
    </row>
    <row r="78" spans="1:19" ht="15" customHeight="1">
      <c r="A78" s="76" t="s">
        <v>968</v>
      </c>
      <c r="R78"/>
    </row>
    <row r="79" spans="1:19" ht="15.6" customHeight="1">
      <c r="A79" s="1311">
        <v>6</v>
      </c>
      <c r="B79" s="153" t="s">
        <v>164</v>
      </c>
      <c r="C79" s="1077"/>
      <c r="D79" s="1077"/>
      <c r="E79" s="1077"/>
      <c r="F79" s="1077"/>
      <c r="G79" s="1077"/>
      <c r="H79" s="1077"/>
      <c r="I79" s="1093" t="str">
        <f>IFERROR(VLOOKUP(L4,#REF!:#REF!,4,FALSE),"")</f>
        <v/>
      </c>
      <c r="J79" s="1129" t="str">
        <f>IFERROR(VLOOKUP(L5,'計算シート (燃焼式)'!A102:N109,14,FALSE),"")</f>
        <v/>
      </c>
      <c r="K79" s="1062" t="s">
        <v>19</v>
      </c>
      <c r="L79" s="1314"/>
      <c r="M79" s="1315"/>
      <c r="R79"/>
    </row>
    <row r="80" spans="1:19" ht="15.6" customHeight="1">
      <c r="A80" s="1312"/>
      <c r="B80" s="153" t="s">
        <v>165</v>
      </c>
      <c r="C80" s="1077"/>
      <c r="D80" s="1077"/>
      <c r="E80" s="1077"/>
      <c r="F80" s="1077"/>
      <c r="G80" s="1077"/>
      <c r="H80" s="1077"/>
      <c r="I80" s="1093" t="str">
        <f>IFERROR(VLOOKUP(L5,#REF!:#REF!,4,FALSE),"")</f>
        <v/>
      </c>
      <c r="J80" s="1129" t="str">
        <f>IF(J79="","","円/kWh")</f>
        <v/>
      </c>
      <c r="K80" s="1062" t="s">
        <v>19</v>
      </c>
      <c r="L80" s="1314"/>
      <c r="M80" s="1315"/>
      <c r="R80"/>
    </row>
    <row r="81" spans="1:20" ht="15.6" customHeight="1">
      <c r="A81" s="1313"/>
      <c r="B81" s="153" t="s">
        <v>166</v>
      </c>
      <c r="C81" s="1077"/>
      <c r="D81" s="1077"/>
      <c r="E81" s="1077"/>
      <c r="F81" s="1077"/>
      <c r="G81" s="1093"/>
      <c r="H81" s="1130"/>
      <c r="I81" s="1093" t="str">
        <f>IFERROR(VLOOKUP(L6,#REF!:#REF!,4,FALSE),"")</f>
        <v/>
      </c>
      <c r="J81" s="1129" t="str">
        <f>IFERROR(VLOOKUP(L43,'計算シート (燃焼式)'!A102:N109,14,FALSE),"")</f>
        <v/>
      </c>
      <c r="K81" s="1062" t="s">
        <v>19</v>
      </c>
      <c r="L81" s="1314"/>
      <c r="M81" s="1315"/>
      <c r="R81"/>
    </row>
    <row r="82" spans="1:20" ht="7.15" customHeight="1">
      <c r="A82" s="1075"/>
      <c r="R82"/>
    </row>
    <row r="83" spans="1:20" ht="25.5" customHeight="1"/>
    <row r="84" spans="1:20" ht="25.15" customHeight="1"/>
    <row r="85" spans="1:20" ht="30" customHeight="1">
      <c r="B85" s="1205" t="s">
        <v>25</v>
      </c>
      <c r="C85" s="1205"/>
      <c r="D85" s="1205"/>
      <c r="E85" s="1205"/>
      <c r="F85" s="1205"/>
      <c r="G85" s="1205" t="s">
        <v>23</v>
      </c>
      <c r="H85" s="1205"/>
      <c r="I85" s="1205"/>
      <c r="J85" s="1205" t="s">
        <v>6</v>
      </c>
      <c r="K85" s="1205"/>
      <c r="L85" s="1205"/>
    </row>
    <row r="86" spans="1:20" ht="38.450000000000003" customHeight="1">
      <c r="B86" s="1206" t="s">
        <v>93</v>
      </c>
      <c r="C86" s="1206"/>
      <c r="D86" s="1206"/>
      <c r="E86" s="1206"/>
      <c r="F86" s="1206"/>
      <c r="G86" s="1245" t="str">
        <f>IF(L4="","",L4)</f>
        <v/>
      </c>
      <c r="H86" s="1245"/>
      <c r="I86" s="1245"/>
      <c r="J86" s="1245" t="str">
        <f>IF(L42=0,"",L42)</f>
        <v/>
      </c>
      <c r="K86" s="1245"/>
      <c r="L86" s="1245"/>
    </row>
    <row r="87" spans="1:20" ht="30" customHeight="1">
      <c r="B87" s="1206" t="s">
        <v>94</v>
      </c>
      <c r="C87" s="1206"/>
      <c r="D87" s="1206"/>
      <c r="E87" s="1206"/>
      <c r="F87" s="1100" t="s">
        <v>99</v>
      </c>
      <c r="G87" s="1270" t="str">
        <f>IF('計算シート (燃焼式)'!D63="0","-",'計算シート (燃焼式)'!D63)</f>
        <v>-</v>
      </c>
      <c r="H87" s="1270"/>
      <c r="I87" s="1270"/>
      <c r="J87" s="1270" t="str">
        <f>IF('計算シート (燃焼式)'!H63="0","-",'計算シート (燃焼式)'!H63)</f>
        <v>-</v>
      </c>
      <c r="K87" s="1270"/>
      <c r="L87" s="1270"/>
    </row>
    <row r="88" spans="1:20" ht="30" customHeight="1">
      <c r="B88" s="1206" t="s">
        <v>95</v>
      </c>
      <c r="C88" s="1206"/>
      <c r="D88" s="1206"/>
      <c r="E88" s="1206"/>
      <c r="F88" s="1101" t="s">
        <v>99</v>
      </c>
      <c r="G88" s="1270" t="str">
        <f>IF('計算シート (燃焼式)'!D64="0","-",'計算シート (燃焼式)'!D64)</f>
        <v>-</v>
      </c>
      <c r="H88" s="1270"/>
      <c r="I88" s="1270"/>
      <c r="J88" s="1270" t="str">
        <f>IF('計算シート (燃焼式)'!H64="0","-",'計算シート (燃焼式)'!H64)</f>
        <v>-</v>
      </c>
      <c r="K88" s="1270"/>
      <c r="L88" s="1270"/>
    </row>
    <row r="89" spans="1:20" ht="30" customHeight="1">
      <c r="B89" s="1206" t="s">
        <v>96</v>
      </c>
      <c r="C89" s="1206"/>
      <c r="D89" s="1206"/>
      <c r="E89" s="1206"/>
      <c r="F89" s="1102" t="s">
        <v>676</v>
      </c>
      <c r="G89" s="1271" t="str">
        <f>IF('計算シート (燃焼式)'!D67=0,"-",'計算シート (燃焼式)'!D67)</f>
        <v>-</v>
      </c>
      <c r="H89" s="1271"/>
      <c r="I89" s="1271"/>
      <c r="J89" s="1271" t="str">
        <f>IF('計算シート (燃焼式)'!H67=0,"-",'計算シート (燃焼式)'!H67)</f>
        <v>-</v>
      </c>
      <c r="K89" s="1271"/>
      <c r="L89" s="1271"/>
    </row>
    <row r="90" spans="1:20" ht="30" customHeight="1">
      <c r="B90" s="1206" t="s">
        <v>97</v>
      </c>
      <c r="C90" s="1206"/>
      <c r="D90" s="1206"/>
      <c r="E90" s="1206"/>
      <c r="F90" s="1102" t="s">
        <v>676</v>
      </c>
      <c r="G90" s="1271" t="str">
        <f>IF('計算シート (燃焼式)'!D68=0,"-",'計算シート (燃焼式)'!D68)</f>
        <v>-</v>
      </c>
      <c r="H90" s="1271"/>
      <c r="I90" s="1271"/>
      <c r="J90" s="1271" t="str">
        <f>IF('計算シート (燃焼式)'!H68=0,"-",'計算シート (燃焼式)'!H68)</f>
        <v>-</v>
      </c>
      <c r="K90" s="1271"/>
      <c r="L90" s="1271"/>
    </row>
    <row r="91" spans="1:20" ht="30" customHeight="1">
      <c r="B91" s="1206" t="s">
        <v>110</v>
      </c>
      <c r="C91" s="1206"/>
      <c r="D91" s="1206"/>
      <c r="E91" s="1206"/>
      <c r="F91" s="1102" t="s">
        <v>676</v>
      </c>
      <c r="G91" s="1271" t="str">
        <f>IF(L29=0,"-",L29)</f>
        <v>-</v>
      </c>
      <c r="H91" s="1271"/>
      <c r="I91" s="1271"/>
      <c r="J91" s="1271" t="str">
        <f>IF(L53=0,"-",L53)</f>
        <v>-</v>
      </c>
      <c r="K91" s="1271"/>
      <c r="L91" s="1271"/>
    </row>
    <row r="92" spans="1:20" ht="30" hidden="1" customHeight="1">
      <c r="A92" s="1104"/>
      <c r="B92" s="1206" t="s">
        <v>138</v>
      </c>
      <c r="C92" s="1206"/>
      <c r="D92" s="1206"/>
      <c r="E92" s="1206"/>
      <c r="F92" s="1101" t="s">
        <v>801</v>
      </c>
      <c r="G92" s="1198" t="str">
        <f>IF('計算シート (燃焼式)'!D74=0,"-",'計算シート (燃焼式)'!D74)</f>
        <v>-</v>
      </c>
      <c r="H92" s="1198"/>
      <c r="I92" s="1198"/>
      <c r="J92" s="1172" t="str">
        <f>IF('計算シート (燃焼式)'!H74=0,"-",'計算シート (燃焼式)'!H74)</f>
        <v>-</v>
      </c>
      <c r="K92" s="1172"/>
      <c r="L92" s="1172"/>
      <c r="O92"/>
      <c r="S92"/>
    </row>
    <row r="93" spans="1:20" ht="30" hidden="1" customHeight="1">
      <c r="A93" s="1104"/>
      <c r="B93" s="1206" t="s">
        <v>139</v>
      </c>
      <c r="C93" s="1206"/>
      <c r="D93" s="1206"/>
      <c r="E93" s="1206"/>
      <c r="F93" s="1101" t="s">
        <v>801</v>
      </c>
      <c r="G93" s="1172" t="str">
        <f>IF('計算シート (燃焼式)'!D76=0,"-",'計算シート (燃焼式)'!D76)</f>
        <v>-</v>
      </c>
      <c r="H93" s="1172"/>
      <c r="I93" s="1172"/>
      <c r="J93" s="1172" t="str">
        <f>IF('計算シート (燃焼式)'!H76=0,"-",'計算シート (燃焼式)'!H76)</f>
        <v>-</v>
      </c>
      <c r="K93" s="1172"/>
      <c r="L93" s="1172"/>
      <c r="M93" s="1105"/>
      <c r="S93"/>
      <c r="T93" s="1106"/>
    </row>
    <row r="94" spans="1:20" ht="30" hidden="1" customHeight="1">
      <c r="A94" s="1104"/>
      <c r="B94" s="1206" t="s">
        <v>140</v>
      </c>
      <c r="C94" s="1206"/>
      <c r="D94" s="1206"/>
      <c r="E94" s="1206"/>
      <c r="F94" s="1101" t="s">
        <v>98</v>
      </c>
      <c r="G94" s="1272" t="str">
        <f>IF('計算シート (燃焼式)'!D80="0","-",'計算シート (燃焼式)'!D80)</f>
        <v>-</v>
      </c>
      <c r="H94" s="1272"/>
      <c r="I94" s="1272"/>
      <c r="J94" s="1272" t="str">
        <f>IF('計算シート (燃焼式)'!H80=0,"-",'計算シート (燃焼式)'!H80)</f>
        <v>-</v>
      </c>
      <c r="K94" s="1272"/>
      <c r="L94" s="1272"/>
      <c r="M94" s="1105"/>
      <c r="S94"/>
      <c r="T94" s="1106"/>
    </row>
    <row r="95" spans="1:20" ht="30" hidden="1" customHeight="1">
      <c r="A95" s="1104"/>
      <c r="B95" s="1206" t="s">
        <v>141</v>
      </c>
      <c r="C95" s="1206"/>
      <c r="D95" s="1206"/>
      <c r="E95" s="1206"/>
      <c r="F95" s="1101" t="s">
        <v>98</v>
      </c>
      <c r="G95" s="1272" t="str">
        <f>IF('計算シート (燃焼式)'!D81="0","-",'計算シート (燃焼式)'!D81)</f>
        <v>-</v>
      </c>
      <c r="H95" s="1272"/>
      <c r="I95" s="1272"/>
      <c r="J95" s="1272" t="str">
        <f>IF('計算シート (燃焼式)'!H81=0,"-",'計算シート (燃焼式)'!H81)</f>
        <v>-</v>
      </c>
      <c r="K95" s="1272"/>
      <c r="L95" s="1272"/>
      <c r="O95"/>
      <c r="S95"/>
    </row>
    <row r="96" spans="1:20" ht="30" customHeight="1">
      <c r="B96" s="1295" t="s">
        <v>802</v>
      </c>
      <c r="C96" s="1296"/>
      <c r="D96" s="1296"/>
      <c r="E96" s="1297"/>
      <c r="F96" s="1301" t="s">
        <v>676</v>
      </c>
      <c r="G96" s="1267" t="str">
        <f>IF('計算シート (燃焼式)'!D72=0,"-",'計算シート (燃焼式)'!D72)</f>
        <v>-</v>
      </c>
      <c r="H96" s="1268"/>
      <c r="I96" s="1269"/>
      <c r="J96" s="1267" t="str">
        <f>IF('計算シート (燃焼式)'!H72=0,"-",'計算シート (燃焼式)'!H72)</f>
        <v>-</v>
      </c>
      <c r="K96" s="1268"/>
      <c r="L96" s="1269"/>
      <c r="O96"/>
    </row>
    <row r="97" spans="1:15" ht="22.15" customHeight="1">
      <c r="B97" s="1298"/>
      <c r="C97" s="1299"/>
      <c r="D97" s="1299"/>
      <c r="E97" s="1300"/>
      <c r="F97" s="1302"/>
      <c r="G97" s="1257" t="str">
        <f>IF(G96="-","",(VLOOKUP(L5,'計算シート (燃焼式)'!A102:J109,10,FALSE)))</f>
        <v/>
      </c>
      <c r="H97" s="1258"/>
      <c r="I97" s="1259"/>
      <c r="J97" s="1257" t="str">
        <f>IF(J96="-","",(VLOOKUP(L43,'計算シート (燃焼式)'!A102:M109,13,FALSE)))</f>
        <v/>
      </c>
      <c r="K97" s="1258"/>
      <c r="L97" s="1259"/>
      <c r="O97"/>
    </row>
    <row r="98" spans="1:15" ht="30" customHeight="1">
      <c r="B98" s="1206" t="s">
        <v>803</v>
      </c>
      <c r="C98" s="1206"/>
      <c r="D98" s="1206"/>
      <c r="E98" s="1206"/>
      <c r="F98" s="1101" t="s">
        <v>98</v>
      </c>
      <c r="G98" s="1243" t="str">
        <f>IF('計算シート (燃焼式)'!D82=0,"-",'計算シート (燃焼式)'!D82)</f>
        <v>-</v>
      </c>
      <c r="H98" s="1243"/>
      <c r="I98" s="1243"/>
      <c r="J98" s="1243" t="str">
        <f>IF('計算シート (燃焼式)'!H82=0,"-",'計算シート (燃焼式)'!H82)</f>
        <v>-</v>
      </c>
      <c r="K98" s="1243"/>
      <c r="L98" s="1243"/>
    </row>
    <row r="99" spans="1:15" ht="30" customHeight="1">
      <c r="B99" s="1206" t="s">
        <v>804</v>
      </c>
      <c r="C99" s="1206"/>
      <c r="D99" s="1206"/>
      <c r="E99" s="1206"/>
      <c r="F99" s="1250" t="s">
        <v>104</v>
      </c>
      <c r="G99" s="1244" t="str">
        <f>IF('計算シート (燃焼式)'!D83=0,"-",'計算シート (燃焼式)'!D83)</f>
        <v>-</v>
      </c>
      <c r="H99" s="1244"/>
      <c r="I99" s="1244"/>
      <c r="J99" s="1249" t="str">
        <f>IF('計算シート (燃焼式)'!H83=0,"-",'計算シート (燃焼式)'!H83)</f>
        <v>-</v>
      </c>
      <c r="K99" s="1249"/>
      <c r="L99" s="1249"/>
    </row>
    <row r="100" spans="1:15" ht="30" customHeight="1">
      <c r="B100" s="1206" t="s">
        <v>805</v>
      </c>
      <c r="C100" s="1206"/>
      <c r="D100" s="1206"/>
      <c r="E100" s="1206"/>
      <c r="F100" s="1251"/>
      <c r="G100" s="1244" t="str">
        <f>IF('計算シート (燃焼式)'!D84=0,"-",'計算シート (燃焼式)'!D84)</f>
        <v>-</v>
      </c>
      <c r="H100" s="1244"/>
      <c r="I100" s="1244"/>
      <c r="J100" s="1246" t="str">
        <f>IF('計算シート (燃焼式)'!H84=0,"-",'計算シート (燃焼式)'!H84)</f>
        <v>-</v>
      </c>
      <c r="K100" s="1247"/>
      <c r="L100" s="1248"/>
    </row>
    <row r="101" spans="1:15" ht="30" customHeight="1">
      <c r="B101" s="1206" t="s">
        <v>408</v>
      </c>
      <c r="C101" s="1206"/>
      <c r="D101" s="1206"/>
      <c r="E101" s="1206"/>
      <c r="F101" s="1252"/>
      <c r="G101" s="1272" t="str">
        <f>IF('計算シート (燃焼式)'!D85=0,"-",'計算シート (燃焼式)'!D85)</f>
        <v>-</v>
      </c>
      <c r="H101" s="1272"/>
      <c r="I101" s="1272"/>
      <c r="J101" s="1246" t="str">
        <f>IF('計算シート (燃焼式)'!H85=0,"-",'計算シート (燃焼式)'!H85)</f>
        <v>-</v>
      </c>
      <c r="K101" s="1247"/>
      <c r="L101" s="1248"/>
    </row>
    <row r="102" spans="1:15" ht="30" customHeight="1">
      <c r="B102" s="1206" t="s">
        <v>114</v>
      </c>
      <c r="C102" s="1206"/>
      <c r="D102" s="1206"/>
      <c r="E102" s="1206"/>
      <c r="F102" s="1101" t="s">
        <v>105</v>
      </c>
      <c r="G102" s="1242"/>
      <c r="H102" s="1242"/>
      <c r="I102" s="1242"/>
      <c r="J102" s="1244" t="str">
        <f>IF('計算シート (燃焼式)'!H86=0,"-",'計算シート (燃焼式)'!H86)</f>
        <v>-</v>
      </c>
      <c r="K102" s="1244"/>
      <c r="L102" s="1244"/>
      <c r="M102" s="1085"/>
      <c r="N102" s="81"/>
      <c r="O102" s="1131"/>
    </row>
    <row r="103" spans="1:15" ht="30" hidden="1" customHeight="1">
      <c r="A103" s="1104"/>
      <c r="B103" s="1206" t="s">
        <v>409</v>
      </c>
      <c r="C103" s="1206"/>
      <c r="D103" s="1206"/>
      <c r="E103" s="1206"/>
      <c r="F103" s="1101" t="s">
        <v>835</v>
      </c>
      <c r="G103" s="1266" t="str">
        <f>IF('計算シート (燃焼式)'!D87=0,"-",'計算シート (燃焼式)'!D87)</f>
        <v>-</v>
      </c>
      <c r="H103" s="1266"/>
      <c r="I103" s="1266"/>
      <c r="J103" s="1266" t="str">
        <f>IF('計算シート (燃焼式)'!H87=0,"-",'計算シート (燃焼式)'!H87)</f>
        <v>-</v>
      </c>
      <c r="K103" s="1266"/>
      <c r="L103" s="1266"/>
    </row>
    <row r="104" spans="1:15" ht="30" hidden="1" customHeight="1">
      <c r="A104" s="1104"/>
      <c r="B104" s="1206" t="s">
        <v>410</v>
      </c>
      <c r="C104" s="1206"/>
      <c r="D104" s="1206"/>
      <c r="E104" s="1206"/>
      <c r="F104" s="1101" t="s">
        <v>843</v>
      </c>
      <c r="G104" s="1266" t="str">
        <f>IF('計算シート (燃焼式)'!D88=0,"-",'計算シート (燃焼式)'!D88)</f>
        <v>-</v>
      </c>
      <c r="H104" s="1266"/>
      <c r="I104" s="1266"/>
      <c r="J104" s="1266" t="str">
        <f>IF('計算シート (燃焼式)'!H88=0,"-",'計算シート (燃焼式)'!H88)</f>
        <v>-</v>
      </c>
      <c r="K104" s="1266"/>
      <c r="L104" s="1266"/>
    </row>
    <row r="105" spans="1:15" ht="30" customHeight="1">
      <c r="B105" s="1273" t="s">
        <v>913</v>
      </c>
      <c r="C105" s="1274"/>
      <c r="D105" s="1274"/>
      <c r="E105" s="1275"/>
      <c r="F105" s="1101" t="s">
        <v>914</v>
      </c>
      <c r="G105" s="1276" t="str">
        <f>IF('計算シート (燃焼式)'!D90=0,"-",'計算シート (燃焼式)'!D90)</f>
        <v>-</v>
      </c>
      <c r="H105" s="1277"/>
      <c r="I105" s="1278"/>
      <c r="J105" s="1276" t="str">
        <f>IF('計算シート (燃焼式)'!H90=0,"-",'計算シート (燃焼式)'!H90)</f>
        <v>-</v>
      </c>
      <c r="K105" s="1277"/>
      <c r="L105" s="1278"/>
      <c r="M105" s="1085"/>
      <c r="N105" s="81"/>
      <c r="O105" s="1131"/>
    </row>
    <row r="106" spans="1:15" ht="30" customHeight="1">
      <c r="B106" s="1206" t="s">
        <v>411</v>
      </c>
      <c r="C106" s="1206"/>
      <c r="D106" s="1206"/>
      <c r="E106" s="1206"/>
      <c r="F106" s="1101" t="s">
        <v>843</v>
      </c>
      <c r="G106" s="1266" t="str">
        <f>IF('計算シート (燃焼式)'!D89=0,"-",'計算シート (燃焼式)'!D89)</f>
        <v>-</v>
      </c>
      <c r="H106" s="1266"/>
      <c r="I106" s="1266"/>
      <c r="J106" s="1266" t="str">
        <f>IF('計算シート (燃焼式)'!H89=0,"-",'計算シート (燃焼式)'!H89)</f>
        <v>-</v>
      </c>
      <c r="K106" s="1266"/>
      <c r="L106" s="1266"/>
    </row>
    <row r="107" spans="1:15" ht="7.9" customHeight="1">
      <c r="G107"/>
      <c r="H107"/>
      <c r="I107"/>
      <c r="J107"/>
    </row>
    <row r="117" spans="5:11">
      <c r="E117"/>
      <c r="F117"/>
      <c r="G117"/>
      <c r="H117"/>
      <c r="I117"/>
      <c r="J117"/>
      <c r="K117"/>
    </row>
    <row r="118" spans="5:11">
      <c r="E118"/>
      <c r="F118"/>
      <c r="G118"/>
      <c r="H118"/>
      <c r="I118"/>
      <c r="J118"/>
      <c r="K118"/>
    </row>
    <row r="119" spans="5:11">
      <c r="E119"/>
      <c r="F119"/>
      <c r="G119"/>
      <c r="H119"/>
      <c r="I119"/>
      <c r="J119"/>
      <c r="K119"/>
    </row>
    <row r="120" spans="5:11">
      <c r="E120"/>
      <c r="F120"/>
      <c r="G120"/>
      <c r="H120"/>
      <c r="I120"/>
      <c r="J120"/>
      <c r="K120"/>
    </row>
    <row r="121" spans="5:11">
      <c r="E121"/>
      <c r="F121"/>
      <c r="G121"/>
      <c r="H121"/>
      <c r="I121"/>
      <c r="J121"/>
      <c r="K121"/>
    </row>
    <row r="122" spans="5:11">
      <c r="E122"/>
      <c r="F122"/>
      <c r="G122"/>
      <c r="H122"/>
      <c r="I122"/>
      <c r="J122"/>
      <c r="K122"/>
    </row>
    <row r="123" spans="5:11">
      <c r="E123"/>
      <c r="F123"/>
      <c r="G123"/>
      <c r="H123"/>
      <c r="I123"/>
      <c r="J123"/>
      <c r="K123"/>
    </row>
    <row r="124" spans="5:11">
      <c r="E124"/>
      <c r="F124"/>
      <c r="G124"/>
      <c r="H124"/>
      <c r="I124"/>
      <c r="J124"/>
      <c r="K124"/>
    </row>
  </sheetData>
  <sheetProtection algorithmName="SHA-512" hashValue="e4F/tHQ2burPXAKxQCft1GV2QP2zjxyL9+gcSUG4ehgDxDJlOv15TqJP/yzUPO0K5f+XoAhoMNtgwKl7psa/7w==" saltValue="fw7r7qff2qqCjK77AcqZaQ==" spinCount="100000" sheet="1" objects="1" scenarios="1" selectLockedCells="1"/>
  <mergeCells count="151">
    <mergeCell ref="C29:E31"/>
    <mergeCell ref="A42:A43"/>
    <mergeCell ref="L27:M27"/>
    <mergeCell ref="L29:M29"/>
    <mergeCell ref="L28:M28"/>
    <mergeCell ref="L30:M30"/>
    <mergeCell ref="L31:M31"/>
    <mergeCell ref="J85:L85"/>
    <mergeCell ref="G85:I85"/>
    <mergeCell ref="L75:M75"/>
    <mergeCell ref="L72:M72"/>
    <mergeCell ref="L73:M73"/>
    <mergeCell ref="L38:M38"/>
    <mergeCell ref="A21:A39"/>
    <mergeCell ref="L74:M74"/>
    <mergeCell ref="L64:M64"/>
    <mergeCell ref="L65:M65"/>
    <mergeCell ref="L66:M66"/>
    <mergeCell ref="L26:M26"/>
    <mergeCell ref="L22:M22"/>
    <mergeCell ref="B21:K21"/>
    <mergeCell ref="L63:M63"/>
    <mergeCell ref="L32:M32"/>
    <mergeCell ref="K22:K39"/>
    <mergeCell ref="L23:M23"/>
    <mergeCell ref="L24:M24"/>
    <mergeCell ref="L34:M34"/>
    <mergeCell ref="L57:M57"/>
    <mergeCell ref="A79:A81"/>
    <mergeCell ref="G87:I87"/>
    <mergeCell ref="B92:E92"/>
    <mergeCell ref="J93:L93"/>
    <mergeCell ref="B93:E93"/>
    <mergeCell ref="G89:I89"/>
    <mergeCell ref="G86:I86"/>
    <mergeCell ref="G88:I88"/>
    <mergeCell ref="G90:I90"/>
    <mergeCell ref="L81:M81"/>
    <mergeCell ref="J87:L87"/>
    <mergeCell ref="G93:I93"/>
    <mergeCell ref="L80:M80"/>
    <mergeCell ref="B88:E88"/>
    <mergeCell ref="B86:F86"/>
    <mergeCell ref="B87:E87"/>
    <mergeCell ref="L79:M79"/>
    <mergeCell ref="L43:M43"/>
    <mergeCell ref="L76:M76"/>
    <mergeCell ref="L36:M36"/>
    <mergeCell ref="L37:M37"/>
    <mergeCell ref="L39:M39"/>
    <mergeCell ref="L49:M49"/>
    <mergeCell ref="L54:M54"/>
    <mergeCell ref="L62:M62"/>
    <mergeCell ref="L51:M51"/>
    <mergeCell ref="L52:M52"/>
    <mergeCell ref="L70:M70"/>
    <mergeCell ref="L60:M60"/>
    <mergeCell ref="L61:M61"/>
    <mergeCell ref="L42:M42"/>
    <mergeCell ref="L46:M46"/>
    <mergeCell ref="L47:M47"/>
    <mergeCell ref="J94:L94"/>
    <mergeCell ref="L71:M71"/>
    <mergeCell ref="B89:E89"/>
    <mergeCell ref="G91:I91"/>
    <mergeCell ref="B90:E90"/>
    <mergeCell ref="B96:E97"/>
    <mergeCell ref="F96:F97"/>
    <mergeCell ref="B94:E94"/>
    <mergeCell ref="J91:L91"/>
    <mergeCell ref="J92:L92"/>
    <mergeCell ref="J95:L95"/>
    <mergeCell ref="B85:F85"/>
    <mergeCell ref="G94:I94"/>
    <mergeCell ref="G95:I95"/>
    <mergeCell ref="K46:K75"/>
    <mergeCell ref="L56:M56"/>
    <mergeCell ref="G92:I92"/>
    <mergeCell ref="B95:E95"/>
    <mergeCell ref="G103:I103"/>
    <mergeCell ref="J103:L103"/>
    <mergeCell ref="G97:I97"/>
    <mergeCell ref="A1:M1"/>
    <mergeCell ref="A2:M2"/>
    <mergeCell ref="A4:A5"/>
    <mergeCell ref="K4:K5"/>
    <mergeCell ref="L14:M14"/>
    <mergeCell ref="L15:M15"/>
    <mergeCell ref="L8:M8"/>
    <mergeCell ref="L9:M9"/>
    <mergeCell ref="L10:M10"/>
    <mergeCell ref="L11:M11"/>
    <mergeCell ref="L4:M4"/>
    <mergeCell ref="L5:M5"/>
    <mergeCell ref="L12:M12"/>
    <mergeCell ref="L13:M13"/>
    <mergeCell ref="K8:K19"/>
    <mergeCell ref="A7:A19"/>
    <mergeCell ref="L16:M16"/>
    <mergeCell ref="L18:M18"/>
    <mergeCell ref="C12:E13"/>
    <mergeCell ref="L17:M17"/>
    <mergeCell ref="L19:M19"/>
    <mergeCell ref="B106:E106"/>
    <mergeCell ref="L33:M33"/>
    <mergeCell ref="G106:I106"/>
    <mergeCell ref="B103:E103"/>
    <mergeCell ref="B91:E91"/>
    <mergeCell ref="L35:M35"/>
    <mergeCell ref="L67:M67"/>
    <mergeCell ref="G96:I96"/>
    <mergeCell ref="J96:L96"/>
    <mergeCell ref="J88:L88"/>
    <mergeCell ref="J89:L89"/>
    <mergeCell ref="J90:L90"/>
    <mergeCell ref="B104:E104"/>
    <mergeCell ref="G104:I104"/>
    <mergeCell ref="J104:L104"/>
    <mergeCell ref="B100:E100"/>
    <mergeCell ref="B101:E101"/>
    <mergeCell ref="G100:I100"/>
    <mergeCell ref="G101:I101"/>
    <mergeCell ref="J100:L100"/>
    <mergeCell ref="J106:L106"/>
    <mergeCell ref="B105:E105"/>
    <mergeCell ref="G105:I105"/>
    <mergeCell ref="J105:L105"/>
    <mergeCell ref="L25:M25"/>
    <mergeCell ref="A45:A75"/>
    <mergeCell ref="B98:E98"/>
    <mergeCell ref="B99:E99"/>
    <mergeCell ref="G102:I102"/>
    <mergeCell ref="G98:I98"/>
    <mergeCell ref="G99:I99"/>
    <mergeCell ref="J98:L98"/>
    <mergeCell ref="J86:L86"/>
    <mergeCell ref="J101:L101"/>
    <mergeCell ref="B102:E102"/>
    <mergeCell ref="J102:L102"/>
    <mergeCell ref="J99:L99"/>
    <mergeCell ref="L48:M48"/>
    <mergeCell ref="F99:F101"/>
    <mergeCell ref="L58:M58"/>
    <mergeCell ref="L59:M59"/>
    <mergeCell ref="L69:M69"/>
    <mergeCell ref="L68:M68"/>
    <mergeCell ref="L50:M50"/>
    <mergeCell ref="J97:L97"/>
    <mergeCell ref="C64:E65"/>
    <mergeCell ref="L53:M53"/>
    <mergeCell ref="L55:M55"/>
  </mergeCells>
  <phoneticPr fontId="7"/>
  <dataValidations count="3">
    <dataValidation type="list" allowBlank="1" showInputMessage="1" showErrorMessage="1" sqref="L4:M4" xr:uid="{74C7BBA5-A0FF-44CE-8872-86BE18953D9A}">
      <formula1>"　,GHP,吸収式冷凍機,温水ボイラー"</formula1>
    </dataValidation>
    <dataValidation type="list" allowBlank="1" showInputMessage="1" showErrorMessage="1" sqref="L43:M43" xr:uid="{2A932458-8BF4-4EE7-AA1A-D73EDF04062F}">
      <formula1>"　,都市ガス13A,LPG,LNG,電気"</formula1>
    </dataValidation>
    <dataValidation type="list" allowBlank="1" showInputMessage="1" showErrorMessage="1" sqref="L5:M5" xr:uid="{EEFC53A8-2CC8-473A-BD6D-6A98554A9A08}">
      <formula1>"　,A重油,灯油,LPG,都市ガス13A,電気"</formula1>
    </dataValidation>
  </dataValidations>
  <printOptions horizontalCentered="1"/>
  <pageMargins left="0.23622047244094491" right="0.23622047244094491" top="0.35433070866141736" bottom="0.35433070866141736" header="0.31496062992125984" footer="0.31496062992125984"/>
  <pageSetup paperSize="9" scale="60" fitToHeight="0" orientation="portrait" r:id="rId1"/>
  <rowBreaks count="1" manualBreakCount="1">
    <brk id="81" max="1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F68FB2-0695-476E-912C-A848B4A630C3}">
          <x14:formula1>
            <xm:f>'計算シート (燃焼式)'!$A$111:$A$119</xm:f>
          </x14:formula1>
          <xm:sqref>N42:N43</xm:sqref>
        </x14:dataValidation>
        <x14:dataValidation type="list" allowBlank="1" showInputMessage="1" showErrorMessage="1" xr:uid="{5C36DDBA-33CF-4EB9-B257-D547D887FAA8}">
          <x14:formula1>
            <xm:f>'計算シート (燃焼式)'!$A$112:$A$119</xm:f>
          </x14:formula1>
          <xm:sqref>L42:M42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8EAE-E7D8-40FB-9C15-8E99F97208E3}">
  <sheetPr>
    <tabColor theme="8" tint="-0.249977111117893"/>
    <pageSetUpPr fitToPage="1"/>
  </sheetPr>
  <dimension ref="A1:AA128"/>
  <sheetViews>
    <sheetView topLeftCell="A37" zoomScale="90" zoomScaleNormal="90" zoomScaleSheetLayoutView="100" workbookViewId="0">
      <selection activeCell="J16" sqref="J16"/>
    </sheetView>
  </sheetViews>
  <sheetFormatPr defaultColWidth="8.75" defaultRowHeight="18.75"/>
  <cols>
    <col min="1" max="1" width="8.75" style="1" customWidth="1"/>
    <col min="2" max="2" width="15.25" style="1" customWidth="1"/>
    <col min="3" max="3" width="8.75" style="1" customWidth="1"/>
    <col min="4" max="4" width="12.625" style="1" customWidth="1"/>
    <col min="5" max="5" width="13.75" style="1" customWidth="1"/>
    <col min="6" max="6" width="10.125" style="1" customWidth="1"/>
    <col min="7" max="7" width="8.75" style="1" customWidth="1"/>
    <col min="8" max="8" width="12.625" style="1" customWidth="1"/>
    <col min="9" max="9" width="14.125" style="34" customWidth="1"/>
    <col min="10" max="10" width="10.25" style="1" customWidth="1"/>
    <col min="11" max="11" width="11.375" style="1" customWidth="1"/>
    <col min="12" max="14" width="9.625" style="1" customWidth="1"/>
    <col min="15" max="15" width="9.625" style="1" bestFit="1" customWidth="1"/>
    <col min="16" max="18" width="9.625" style="1" customWidth="1"/>
    <col min="19" max="19" width="14.125" style="1" bestFit="1" customWidth="1"/>
    <col min="20" max="20" width="12.5" style="1" bestFit="1" customWidth="1"/>
    <col min="21" max="22" width="9.625" style="1" customWidth="1"/>
    <col min="23" max="23" width="9.75" style="1" customWidth="1"/>
    <col min="24" max="26" width="10.375" style="1" customWidth="1"/>
    <col min="27" max="27" width="9.875" style="1" bestFit="1" customWidth="1"/>
    <col min="28" max="16384" width="8.75" style="1"/>
  </cols>
  <sheetData>
    <row r="1" spans="1:23" ht="20.25" thickBot="1">
      <c r="A1" s="83" t="s">
        <v>397</v>
      </c>
      <c r="B1" s="234">
        <f>'2-2 算定シート（燃焼式）'!L4</f>
        <v>0</v>
      </c>
    </row>
    <row r="2" spans="1:23" ht="21" thickTop="1" thickBot="1">
      <c r="A2" s="83"/>
      <c r="B2" s="234">
        <f>'2-2 算定シート（燃焼式）'!L5</f>
        <v>0</v>
      </c>
      <c r="D2" s="235"/>
      <c r="G2" s="235"/>
      <c r="J2" s="1048" t="s">
        <v>935</v>
      </c>
      <c r="L2" s="239" t="s">
        <v>919</v>
      </c>
      <c r="M2" s="207"/>
      <c r="N2" s="207"/>
      <c r="O2" s="207"/>
      <c r="P2" s="207"/>
      <c r="Q2" s="207"/>
      <c r="R2" s="207"/>
      <c r="S2" s="410" t="s">
        <v>673</v>
      </c>
      <c r="T2" s="207"/>
      <c r="U2" s="207"/>
    </row>
    <row r="3" spans="1:23" ht="19.899999999999999" customHeight="1" thickBot="1">
      <c r="A3" s="83" t="s">
        <v>143</v>
      </c>
      <c r="C3" s="150" t="s">
        <v>921</v>
      </c>
      <c r="D3" s="81" t="s">
        <v>79</v>
      </c>
      <c r="E3" s="90" t="s">
        <v>125</v>
      </c>
      <c r="F3" s="91"/>
      <c r="G3" s="152" t="s">
        <v>774</v>
      </c>
      <c r="H3" s="99">
        <f>'2-2 算定シート（燃焼式）'!L8</f>
        <v>0</v>
      </c>
      <c r="I3"/>
      <c r="J3" s="41" t="str">
        <f>IF(H3&lt;&gt;0,H3,IF(H9&lt;&gt;0,H9,IF(H7&lt;&gt;0,H7/2,"0")))</f>
        <v>0</v>
      </c>
      <c r="K3" s="1047" t="s">
        <v>936</v>
      </c>
      <c r="L3" s="1346" t="s">
        <v>343</v>
      </c>
      <c r="M3" s="1347"/>
      <c r="N3" s="1348"/>
      <c r="O3" s="256"/>
      <c r="P3" s="1005"/>
      <c r="Q3" s="825" t="s">
        <v>399</v>
      </c>
      <c r="R3" s="1022"/>
      <c r="S3" s="411" t="s">
        <v>399</v>
      </c>
      <c r="T3" s="827" t="s">
        <v>413</v>
      </c>
      <c r="U3" s="828" t="s">
        <v>222</v>
      </c>
      <c r="V3" s="827" t="s">
        <v>413</v>
      </c>
    </row>
    <row r="4" spans="1:23" ht="18.600000000000001" customHeight="1" thickBot="1">
      <c r="D4" s="81"/>
      <c r="E4" s="82" t="s">
        <v>126</v>
      </c>
      <c r="F4" s="7"/>
      <c r="G4" s="152" t="s">
        <v>774</v>
      </c>
      <c r="H4" s="99">
        <f>'2-2 算定シート（燃焼式）'!L9</f>
        <v>0</v>
      </c>
      <c r="I4"/>
      <c r="J4" s="41" t="str">
        <f>IF(H4&lt;&gt;0,H4,IF(H10&lt;&gt;0,H10,IF(H13&lt;&gt;0,H13,IF(H7&lt;&gt;0,H7/2,"0"))))</f>
        <v>0</v>
      </c>
      <c r="K4" s="1047" t="s">
        <v>937</v>
      </c>
      <c r="L4" s="1350" t="s">
        <v>268</v>
      </c>
      <c r="M4" s="1351"/>
      <c r="N4" s="1352"/>
      <c r="O4" s="257"/>
      <c r="P4" s="1006"/>
      <c r="Q4" s="826" t="s">
        <v>404</v>
      </c>
      <c r="R4" s="1023"/>
      <c r="S4" s="412" t="s">
        <v>404</v>
      </c>
      <c r="T4" s="829" t="s">
        <v>200</v>
      </c>
      <c r="U4" s="830" t="s">
        <v>200</v>
      </c>
      <c r="V4" s="829" t="s">
        <v>683</v>
      </c>
    </row>
    <row r="5" spans="1:23" ht="19.149999999999999" customHeight="1" thickBot="1">
      <c r="C5" s="150"/>
      <c r="D5" s="81"/>
      <c r="E5" s="82" t="s">
        <v>127</v>
      </c>
      <c r="F5" s="84"/>
      <c r="G5" s="340" t="s">
        <v>98</v>
      </c>
      <c r="H5" s="99">
        <f>'2-2 算定シート（燃焼式）'!L10</f>
        <v>0</v>
      </c>
      <c r="I5"/>
      <c r="J5" s="41" t="str">
        <f>IF(H5&lt;&gt;0,H5,IF(H11&lt;&gt;0,H11,IF(H8&lt;&gt;0,H8/2,"0")))</f>
        <v>0</v>
      </c>
      <c r="K5" s="1047" t="s">
        <v>938</v>
      </c>
      <c r="L5" s="1327" t="s">
        <v>346</v>
      </c>
      <c r="M5" s="1328"/>
      <c r="N5" s="1329"/>
      <c r="O5" s="810" t="s">
        <v>405</v>
      </c>
      <c r="P5" s="1007"/>
      <c r="Q5" s="811" t="str">
        <f>J16</f>
        <v>0</v>
      </c>
      <c r="R5" s="1024"/>
      <c r="S5" s="413"/>
      <c r="T5" s="831" t="str">
        <f>J16</f>
        <v>0</v>
      </c>
      <c r="U5" s="822"/>
      <c r="V5" s="832" t="str">
        <f>J16</f>
        <v>0</v>
      </c>
    </row>
    <row r="6" spans="1:23" ht="19.149999999999999" customHeight="1" thickBot="1">
      <c r="D6" s="79"/>
      <c r="E6" s="80" t="s">
        <v>128</v>
      </c>
      <c r="F6" s="92"/>
      <c r="G6" s="322" t="s">
        <v>98</v>
      </c>
      <c r="H6" s="99">
        <f>'2-2 算定シート（燃焼式）'!L11</f>
        <v>0</v>
      </c>
      <c r="I6"/>
      <c r="J6" s="50" t="str">
        <f>IF(H6&lt;&gt;0,H6,IF(H12&lt;&gt;0,H12,IF(H14&lt;&gt;0,H14,IF(H8&lt;&gt;0,H8/2,"0"))))</f>
        <v>0</v>
      </c>
      <c r="K6" s="1047" t="s">
        <v>939</v>
      </c>
      <c r="L6" s="1327" t="s">
        <v>273</v>
      </c>
      <c r="M6" s="1328"/>
      <c r="N6" s="1329"/>
      <c r="O6" s="810" t="s">
        <v>405</v>
      </c>
      <c r="P6" s="1007"/>
      <c r="Q6" s="811" t="str">
        <f t="shared" ref="Q6:Q8" si="0">J17</f>
        <v>0</v>
      </c>
      <c r="R6" s="1024"/>
      <c r="S6" s="413"/>
      <c r="T6" s="831" t="str">
        <f>J17</f>
        <v>0</v>
      </c>
      <c r="U6" s="833" t="str">
        <f>J17</f>
        <v>0</v>
      </c>
      <c r="V6" s="832" t="str">
        <f>J17</f>
        <v>0</v>
      </c>
      <c r="W6" s="1" t="s">
        <v>443</v>
      </c>
    </row>
    <row r="7" spans="1:23" ht="19.149999999999999" customHeight="1" thickBot="1">
      <c r="C7" s="150" t="s">
        <v>878</v>
      </c>
      <c r="D7" s="81" t="s">
        <v>648</v>
      </c>
      <c r="E7" s="82" t="s">
        <v>641</v>
      </c>
      <c r="F7" s="7"/>
      <c r="G7" s="152" t="s">
        <v>785</v>
      </c>
      <c r="H7" s="342">
        <f>'2-2 算定シート（燃焼式）'!L12</f>
        <v>0</v>
      </c>
      <c r="J7" s="1048" t="s">
        <v>940</v>
      </c>
      <c r="K7" s="186"/>
      <c r="L7" s="1327" t="s">
        <v>275</v>
      </c>
      <c r="M7" s="1328"/>
      <c r="N7" s="1329"/>
      <c r="O7" s="810" t="s">
        <v>405</v>
      </c>
      <c r="P7" s="1007"/>
      <c r="Q7" s="811" t="str">
        <f t="shared" si="0"/>
        <v>0</v>
      </c>
      <c r="R7" s="1024"/>
      <c r="S7" s="414"/>
      <c r="T7" s="834" t="e">
        <f>J18*E74/3.6</f>
        <v>#N/A</v>
      </c>
      <c r="U7" s="822"/>
      <c r="V7" s="835" t="e">
        <f>J18*E74/3.6</f>
        <v>#N/A</v>
      </c>
    </row>
    <row r="8" spans="1:23" ht="19.149999999999999" customHeight="1" thickBot="1">
      <c r="D8" s="79"/>
      <c r="E8" s="80" t="s">
        <v>642</v>
      </c>
      <c r="F8" s="92"/>
      <c r="G8" s="322" t="s">
        <v>98</v>
      </c>
      <c r="H8" s="407">
        <f>'2-2 算定シート（燃焼式）'!L13</f>
        <v>0</v>
      </c>
      <c r="I8" s="1326" t="s">
        <v>284</v>
      </c>
      <c r="J8" s="344">
        <f>H7</f>
        <v>0</v>
      </c>
      <c r="K8" s="1047" t="s">
        <v>941</v>
      </c>
      <c r="L8" s="1327" t="s">
        <v>278</v>
      </c>
      <c r="M8" s="1328"/>
      <c r="N8" s="1329"/>
      <c r="O8" s="810" t="s">
        <v>405</v>
      </c>
      <c r="P8" s="1007"/>
      <c r="Q8" s="811" t="str">
        <f t="shared" si="0"/>
        <v>0</v>
      </c>
      <c r="R8" s="1024"/>
      <c r="S8" s="414"/>
      <c r="T8" s="834" t="e">
        <f>J19*E74/3.6</f>
        <v>#N/A</v>
      </c>
      <c r="U8" s="836" t="e">
        <f>J19*E74/3.6</f>
        <v>#N/A</v>
      </c>
      <c r="V8" s="835" t="e">
        <f>J19*E74/3.6</f>
        <v>#N/A</v>
      </c>
    </row>
    <row r="9" spans="1:23" ht="19.149999999999999" customHeight="1" thickBot="1">
      <c r="C9" s="150" t="s">
        <v>400</v>
      </c>
      <c r="D9" s="81" t="s">
        <v>82</v>
      </c>
      <c r="E9" s="82" t="s">
        <v>129</v>
      </c>
      <c r="F9" s="84"/>
      <c r="G9" s="152" t="s">
        <v>784</v>
      </c>
      <c r="H9" s="408">
        <f>'2-2 算定シート（燃焼式）'!L14</f>
        <v>0</v>
      </c>
      <c r="I9" s="1326"/>
      <c r="J9" s="741">
        <f>H8</f>
        <v>0</v>
      </c>
      <c r="K9" s="1047" t="s">
        <v>942</v>
      </c>
      <c r="L9" s="1327" t="s">
        <v>349</v>
      </c>
      <c r="M9" s="1328"/>
      <c r="N9" s="1329"/>
      <c r="O9" s="812" t="s">
        <v>406</v>
      </c>
      <c r="P9" s="1008"/>
      <c r="Q9" s="813">
        <f>IFERROR(Q5/Q7,0)</f>
        <v>0</v>
      </c>
      <c r="R9" s="1025"/>
      <c r="S9" s="415"/>
      <c r="T9" s="837">
        <f>IFERROR(T5/T7,0)</f>
        <v>0</v>
      </c>
      <c r="U9" s="822"/>
      <c r="V9" s="838">
        <f>IFERROR(T5/T7,0)</f>
        <v>0</v>
      </c>
    </row>
    <row r="10" spans="1:23" ht="19.149999999999999" customHeight="1" thickBot="1">
      <c r="D10" s="81"/>
      <c r="E10" s="82" t="s">
        <v>130</v>
      </c>
      <c r="F10" s="84"/>
      <c r="G10" s="152" t="s">
        <v>785</v>
      </c>
      <c r="H10" s="99">
        <f>'2-2 算定シート（燃焼式）'!L15</f>
        <v>0</v>
      </c>
      <c r="I10"/>
      <c r="J10" s="344">
        <f>H15</f>
        <v>0</v>
      </c>
      <c r="K10" s="1047" t="s">
        <v>943</v>
      </c>
      <c r="L10" s="1327" t="s">
        <v>351</v>
      </c>
      <c r="M10" s="1328"/>
      <c r="N10" s="1329"/>
      <c r="O10" s="812" t="s">
        <v>406</v>
      </c>
      <c r="P10" s="1008"/>
      <c r="Q10" s="813" t="e">
        <f>Q6/Q8</f>
        <v>#DIV/0!</v>
      </c>
      <c r="R10" s="1025"/>
      <c r="S10" s="415"/>
      <c r="T10" s="837" t="e">
        <f>T6/T8</f>
        <v>#N/A</v>
      </c>
      <c r="U10" s="839" t="e">
        <f>U6/U8</f>
        <v>#N/A</v>
      </c>
      <c r="V10" s="838" t="e">
        <f>T6/T8</f>
        <v>#N/A</v>
      </c>
    </row>
    <row r="11" spans="1:23" ht="19.149999999999999" customHeight="1">
      <c r="D11" s="81"/>
      <c r="E11" s="82" t="s">
        <v>127</v>
      </c>
      <c r="F11" s="84"/>
      <c r="G11" s="152" t="s">
        <v>98</v>
      </c>
      <c r="H11" s="99">
        <f>'2-2 算定シート（燃焼式）'!L16</f>
        <v>0</v>
      </c>
      <c r="I11"/>
      <c r="L11" s="1327" t="s">
        <v>288</v>
      </c>
      <c r="M11" s="1328"/>
      <c r="N11" s="1329"/>
      <c r="O11" s="810" t="s">
        <v>405</v>
      </c>
      <c r="P11" s="1007"/>
      <c r="Q11" s="811">
        <f>H29</f>
        <v>0</v>
      </c>
      <c r="R11" s="1024"/>
      <c r="S11" s="413"/>
      <c r="T11" s="831">
        <f>H29</f>
        <v>0</v>
      </c>
      <c r="U11" s="822"/>
      <c r="V11" s="832">
        <f>J29</f>
        <v>0</v>
      </c>
    </row>
    <row r="12" spans="1:23" ht="20.25" thickBot="1">
      <c r="D12" s="79"/>
      <c r="E12" s="80" t="s">
        <v>128</v>
      </c>
      <c r="F12" s="92"/>
      <c r="G12" s="575" t="s">
        <v>98</v>
      </c>
      <c r="H12" s="99">
        <f>'2-2 算定シート（燃焼式）'!L17</f>
        <v>0</v>
      </c>
      <c r="I12"/>
      <c r="K12" s="1" t="s">
        <v>755</v>
      </c>
      <c r="L12" s="1327" t="s">
        <v>290</v>
      </c>
      <c r="M12" s="1328"/>
      <c r="N12" s="1329"/>
      <c r="O12" s="810" t="s">
        <v>405</v>
      </c>
      <c r="P12" s="1007"/>
      <c r="Q12" s="811">
        <f>H30</f>
        <v>0</v>
      </c>
      <c r="R12" s="1024"/>
      <c r="S12" s="413"/>
      <c r="T12" s="831">
        <f>H30</f>
        <v>0</v>
      </c>
      <c r="U12" s="822"/>
      <c r="V12" s="832">
        <f>J30</f>
        <v>0</v>
      </c>
    </row>
    <row r="13" spans="1:23" ht="19.5">
      <c r="C13" s="150" t="s">
        <v>667</v>
      </c>
      <c r="D13" s="360" t="s">
        <v>666</v>
      </c>
      <c r="E13" s="82" t="s">
        <v>660</v>
      </c>
      <c r="F13" s="361"/>
      <c r="G13" s="152" t="s">
        <v>773</v>
      </c>
      <c r="H13" s="99">
        <f>'2-2 算定シート（燃焼式）'!L18</f>
        <v>0</v>
      </c>
      <c r="I13"/>
      <c r="L13" s="1327" t="s">
        <v>292</v>
      </c>
      <c r="M13" s="1328"/>
      <c r="N13" s="1329"/>
      <c r="O13" s="810" t="s">
        <v>405</v>
      </c>
      <c r="P13" s="1007"/>
      <c r="Q13" s="811">
        <f>H31</f>
        <v>0</v>
      </c>
      <c r="R13" s="1024"/>
      <c r="S13" s="413"/>
      <c r="T13" s="831">
        <f>H31</f>
        <v>0</v>
      </c>
      <c r="U13" s="822"/>
      <c r="V13" s="832">
        <f>J31</f>
        <v>0</v>
      </c>
    </row>
    <row r="14" spans="1:23" ht="18.600000000000001" customHeight="1" thickBot="1">
      <c r="D14" s="79"/>
      <c r="E14" s="80" t="s">
        <v>661</v>
      </c>
      <c r="F14" s="92"/>
      <c r="G14" s="322" t="s">
        <v>98</v>
      </c>
      <c r="H14" s="99">
        <f>'2-2 算定シート（燃焼式）'!L19</f>
        <v>0</v>
      </c>
      <c r="I14"/>
      <c r="L14" s="1327" t="s">
        <v>407</v>
      </c>
      <c r="M14" s="1328"/>
      <c r="N14" s="1329"/>
      <c r="O14" s="812" t="s">
        <v>406</v>
      </c>
      <c r="P14" s="1009"/>
      <c r="Q14" s="814"/>
      <c r="R14" s="814"/>
      <c r="S14" s="416">
        <f>H15</f>
        <v>0</v>
      </c>
      <c r="T14" s="840"/>
      <c r="U14" s="822"/>
      <c r="V14" s="832"/>
    </row>
    <row r="15" spans="1:23" ht="18.600000000000001" customHeight="1" thickBot="1">
      <c r="D15" s="236"/>
      <c r="E15" s="237"/>
      <c r="F15" s="402" t="s">
        <v>648</v>
      </c>
      <c r="G15" s="403" t="s">
        <v>284</v>
      </c>
      <c r="H15" s="405">
        <f>'2-2 算定シート（燃焼式）'!L29</f>
        <v>0</v>
      </c>
      <c r="I15" s="51"/>
      <c r="J15" s="1048" t="s">
        <v>935</v>
      </c>
      <c r="L15" s="1349" t="s">
        <v>352</v>
      </c>
      <c r="M15" s="1344"/>
      <c r="N15" s="1345"/>
      <c r="O15" s="810" t="s">
        <v>263</v>
      </c>
      <c r="P15" s="1007"/>
      <c r="Q15" s="815" t="e">
        <f>J3*$E$74*$M$112</f>
        <v>#N/A</v>
      </c>
      <c r="R15" s="1026"/>
      <c r="S15" s="417"/>
      <c r="T15" s="834" t="e">
        <f>J3*E74</f>
        <v>#N/A</v>
      </c>
      <c r="U15" s="822"/>
      <c r="V15" s="835" t="e">
        <f>J3*E74</f>
        <v>#N/A</v>
      </c>
    </row>
    <row r="16" spans="1:23" ht="18.600000000000001" customHeight="1" thickBot="1">
      <c r="A16" s="83" t="s">
        <v>144</v>
      </c>
      <c r="C16" s="150" t="s">
        <v>921</v>
      </c>
      <c r="D16" s="81" t="s">
        <v>79</v>
      </c>
      <c r="E16" s="82" t="s">
        <v>87</v>
      </c>
      <c r="F16" s="82"/>
      <c r="G16" s="261" t="s">
        <v>99</v>
      </c>
      <c r="H16" s="101">
        <f>'2-2 算定シート（燃焼式）'!L22</f>
        <v>0</v>
      </c>
      <c r="I16" s="261"/>
      <c r="J16" s="41" t="str">
        <f>IF(H16&lt;&gt;0,H16,IF(H20&lt;&gt;0,H20,"0"))</f>
        <v>0</v>
      </c>
      <c r="K16" s="1047" t="s">
        <v>945</v>
      </c>
      <c r="L16" s="816" t="s">
        <v>353</v>
      </c>
      <c r="M16" s="817"/>
      <c r="N16" s="1330" t="s">
        <v>354</v>
      </c>
      <c r="O16" s="1331"/>
      <c r="P16" s="1010"/>
      <c r="Q16" s="818" t="str">
        <f>J3</f>
        <v>0</v>
      </c>
      <c r="R16" s="1027"/>
      <c r="S16" s="417"/>
      <c r="T16" s="841" t="e">
        <f>T15/E74</f>
        <v>#N/A</v>
      </c>
      <c r="U16" s="822"/>
      <c r="V16" s="832" t="e">
        <f>V15/E74</f>
        <v>#N/A</v>
      </c>
    </row>
    <row r="17" spans="1:27" ht="18.600000000000001" customHeight="1" thickBot="1">
      <c r="D17" s="81"/>
      <c r="E17" s="82" t="s">
        <v>88</v>
      </c>
      <c r="F17" s="82"/>
      <c r="G17" s="261" t="s">
        <v>99</v>
      </c>
      <c r="H17" s="101">
        <f>'2-2 算定シート（燃焼式）'!L23</f>
        <v>0</v>
      </c>
      <c r="I17" s="261"/>
      <c r="J17" s="41" t="str">
        <f>IF(H17&lt;&gt;0,H17,IF(H21&lt;&gt;0,H21,IF(H26&lt;&gt;0,H26,"0")))</f>
        <v>0</v>
      </c>
      <c r="K17" s="1047" t="s">
        <v>946</v>
      </c>
      <c r="L17" s="1349" t="s">
        <v>355</v>
      </c>
      <c r="M17" s="1344"/>
      <c r="N17" s="1345"/>
      <c r="O17" s="810" t="s">
        <v>263</v>
      </c>
      <c r="P17" s="1007"/>
      <c r="Q17" s="815" t="e">
        <f>J4*$E$74*$M$112</f>
        <v>#N/A</v>
      </c>
      <c r="R17" s="1026"/>
      <c r="S17" s="417"/>
      <c r="T17" s="834" t="e">
        <f>J4*E74</f>
        <v>#N/A</v>
      </c>
      <c r="U17" s="842">
        <f>J4*C102</f>
        <v>0</v>
      </c>
      <c r="V17" s="835" t="e">
        <f>J4*E74</f>
        <v>#N/A</v>
      </c>
    </row>
    <row r="18" spans="1:27" ht="18.600000000000001" customHeight="1" thickBot="1">
      <c r="D18" s="81"/>
      <c r="E18" s="82" t="s">
        <v>131</v>
      </c>
      <c r="F18" s="82"/>
      <c r="G18" s="581" t="s">
        <v>775</v>
      </c>
      <c r="H18" s="101">
        <f>'2-2 算定シート（燃焼式）'!L24</f>
        <v>0</v>
      </c>
      <c r="I18" s="261"/>
      <c r="J18" s="41" t="str">
        <f>IF(H18&lt;&gt;0,H18,IF(H22&lt;&gt;0,H22,"0"))</f>
        <v>0</v>
      </c>
      <c r="K18" s="240" t="s">
        <v>947</v>
      </c>
      <c r="L18" s="816" t="s">
        <v>353</v>
      </c>
      <c r="M18" s="817"/>
      <c r="N18" s="1330" t="s">
        <v>354</v>
      </c>
      <c r="O18" s="1331"/>
      <c r="P18" s="1010"/>
      <c r="Q18" s="818" t="str">
        <f>J4</f>
        <v>0</v>
      </c>
      <c r="R18" s="1027"/>
      <c r="S18" s="417"/>
      <c r="T18" s="843" t="e">
        <f>T17/E74</f>
        <v>#N/A</v>
      </c>
      <c r="U18" s="844" t="str">
        <f>J4</f>
        <v>0</v>
      </c>
      <c r="V18" s="832" t="str">
        <f>J4</f>
        <v>0</v>
      </c>
    </row>
    <row r="19" spans="1:27" ht="18.600000000000001" customHeight="1" thickBot="1">
      <c r="A19" s="83"/>
      <c r="D19" s="79"/>
      <c r="E19" s="80" t="s">
        <v>132</v>
      </c>
      <c r="F19" s="80"/>
      <c r="G19" s="582" t="s">
        <v>775</v>
      </c>
      <c r="H19" s="101">
        <f>'2-2 算定シート（燃焼式）'!L25</f>
        <v>0</v>
      </c>
      <c r="I19" s="261"/>
      <c r="J19" s="41" t="str">
        <f>IF(H19&lt;&gt;0,H19,IF(H23&lt;&gt;0,H23,IF(H27&lt;&gt;0,H27,"0")))</f>
        <v>0</v>
      </c>
      <c r="K19" s="240" t="s">
        <v>948</v>
      </c>
      <c r="L19" s="1349" t="s">
        <v>356</v>
      </c>
      <c r="M19" s="1344"/>
      <c r="N19" s="1345"/>
      <c r="O19" s="810" t="s">
        <v>263</v>
      </c>
      <c r="P19" s="1007"/>
      <c r="Q19" s="815" t="e">
        <f>Q15+Q17</f>
        <v>#N/A</v>
      </c>
      <c r="R19" s="1026"/>
      <c r="S19" s="418" t="e">
        <f>J8*E74*M112</f>
        <v>#N/A</v>
      </c>
      <c r="T19" s="834" t="e">
        <f>T15+T17</f>
        <v>#N/A</v>
      </c>
      <c r="U19" s="836">
        <f t="shared" ref="T19:U20" si="1">U15+U17</f>
        <v>0</v>
      </c>
      <c r="V19" s="835" t="e">
        <f>V15+V17</f>
        <v>#N/A</v>
      </c>
    </row>
    <row r="20" spans="1:27" ht="18.600000000000001" customHeight="1" thickBot="1">
      <c r="A20" s="83"/>
      <c r="D20" s="81" t="s">
        <v>82</v>
      </c>
      <c r="E20" s="82" t="s">
        <v>87</v>
      </c>
      <c r="F20" s="82"/>
      <c r="G20" s="581" t="s">
        <v>99</v>
      </c>
      <c r="H20" s="101">
        <f>'2-2 算定シート（燃焼式）'!L30</f>
        <v>0</v>
      </c>
      <c r="I20" s="152"/>
      <c r="J20" s="183">
        <f>H24</f>
        <v>0</v>
      </c>
      <c r="K20" s="240" t="s">
        <v>949</v>
      </c>
      <c r="L20" s="816" t="s">
        <v>353</v>
      </c>
      <c r="M20" s="817"/>
      <c r="N20" s="1330" t="s">
        <v>354</v>
      </c>
      <c r="O20" s="1331"/>
      <c r="P20" s="1010"/>
      <c r="Q20" s="811">
        <f>Q16+Q18</f>
        <v>0</v>
      </c>
      <c r="R20" s="1024"/>
      <c r="S20" s="742">
        <f>J8</f>
        <v>0</v>
      </c>
      <c r="T20" s="831" t="e">
        <f t="shared" si="1"/>
        <v>#N/A</v>
      </c>
      <c r="U20" s="833">
        <f t="shared" si="1"/>
        <v>0</v>
      </c>
      <c r="V20" s="832" t="e">
        <f>V16+V18</f>
        <v>#N/A</v>
      </c>
    </row>
    <row r="21" spans="1:27" ht="18.600000000000001" customHeight="1" thickBot="1">
      <c r="A21" s="83"/>
      <c r="C21" s="150" t="s">
        <v>400</v>
      </c>
      <c r="D21" s="81"/>
      <c r="E21" s="82" t="s">
        <v>88</v>
      </c>
      <c r="F21" s="82"/>
      <c r="G21" s="581" t="s">
        <v>99</v>
      </c>
      <c r="H21" s="101">
        <f>'2-2 算定シート（燃焼式）'!L31</f>
        <v>0</v>
      </c>
      <c r="I21" s="152"/>
      <c r="J21" s="258">
        <f>H25</f>
        <v>0</v>
      </c>
      <c r="K21" s="240" t="s">
        <v>950</v>
      </c>
      <c r="L21" s="1327" t="s">
        <v>357</v>
      </c>
      <c r="M21" s="1328"/>
      <c r="N21" s="1329"/>
      <c r="O21" s="810" t="s">
        <v>848</v>
      </c>
      <c r="P21" s="1007"/>
      <c r="Q21" s="811" t="str">
        <f>J5</f>
        <v>0</v>
      </c>
      <c r="R21" s="1024"/>
      <c r="S21" s="743">
        <f>J9/2</f>
        <v>0</v>
      </c>
      <c r="T21" s="831">
        <f>IFERROR(J5*(AA42+AA43+AA44)/(T11+T12+T13),0)</f>
        <v>0</v>
      </c>
      <c r="U21" s="822"/>
      <c r="V21" s="832" t="str">
        <f>J5</f>
        <v>0</v>
      </c>
    </row>
    <row r="22" spans="1:27" ht="18.600000000000001" customHeight="1">
      <c r="A22" s="83"/>
      <c r="E22" s="82" t="s">
        <v>135</v>
      </c>
      <c r="F22" s="82"/>
      <c r="G22" s="581" t="s">
        <v>99</v>
      </c>
      <c r="H22" s="101">
        <f>'2-2 算定シート（燃焼式）'!L32</f>
        <v>0</v>
      </c>
      <c r="L22" s="1327" t="s">
        <v>358</v>
      </c>
      <c r="M22" s="1328"/>
      <c r="N22" s="1329"/>
      <c r="O22" s="810" t="s">
        <v>848</v>
      </c>
      <c r="P22" s="1007"/>
      <c r="Q22" s="811" t="str">
        <f>J6</f>
        <v>0</v>
      </c>
      <c r="R22" s="1024"/>
      <c r="S22" s="743">
        <f>J9/2</f>
        <v>0</v>
      </c>
      <c r="T22" s="831" t="str">
        <f>J6</f>
        <v>0</v>
      </c>
      <c r="U22" s="833" t="str">
        <f>J6</f>
        <v>0</v>
      </c>
      <c r="V22" s="832" t="str">
        <f>J6</f>
        <v>0</v>
      </c>
    </row>
    <row r="23" spans="1:27" ht="18.600000000000001" customHeight="1">
      <c r="A23" s="83"/>
      <c r="D23" s="82"/>
      <c r="E23" s="82" t="s">
        <v>136</v>
      </c>
      <c r="F23" s="82"/>
      <c r="G23" s="581" t="s">
        <v>99</v>
      </c>
      <c r="H23" s="101">
        <f>'2-2 算定シート（燃焼式）'!L33</f>
        <v>0</v>
      </c>
      <c r="J23" s="82"/>
      <c r="L23" s="1327" t="s">
        <v>359</v>
      </c>
      <c r="M23" s="1328"/>
      <c r="N23" s="1329"/>
      <c r="O23" s="810" t="s">
        <v>360</v>
      </c>
      <c r="P23" s="1007"/>
      <c r="Q23" s="819" t="e">
        <f>Q19*E83</f>
        <v>#N/A</v>
      </c>
      <c r="R23" s="1028"/>
      <c r="S23" s="419" t="e">
        <f>S19*E83</f>
        <v>#N/A</v>
      </c>
      <c r="T23" s="845" t="e">
        <f>T19*E83</f>
        <v>#N/A</v>
      </c>
      <c r="U23" s="846">
        <f>U17*E102</f>
        <v>0</v>
      </c>
      <c r="V23" s="847" t="e">
        <f>V19*E83</f>
        <v>#N/A</v>
      </c>
    </row>
    <row r="24" spans="1:27" ht="18.600000000000001" customHeight="1">
      <c r="A24" s="83"/>
      <c r="D24" s="82"/>
      <c r="E24" s="82" t="s">
        <v>89</v>
      </c>
      <c r="F24" s="82"/>
      <c r="G24" s="261" t="s">
        <v>99</v>
      </c>
      <c r="H24" s="101">
        <f>'2-2 算定シート（燃焼式）'!L34</f>
        <v>0</v>
      </c>
      <c r="J24"/>
      <c r="L24" s="1327" t="s">
        <v>361</v>
      </c>
      <c r="M24" s="1328"/>
      <c r="N24" s="1329"/>
      <c r="O24" s="810" t="s">
        <v>360</v>
      </c>
      <c r="P24" s="1007"/>
      <c r="Q24" s="820">
        <f>(Q21+Q22)*$E$109</f>
        <v>0</v>
      </c>
      <c r="R24" s="1029"/>
      <c r="S24" s="420">
        <f>J9*E109</f>
        <v>0</v>
      </c>
      <c r="T24" s="848">
        <f>(T21+T22)*E109</f>
        <v>0</v>
      </c>
      <c r="U24" s="849">
        <f>(U21+U22)*E109</f>
        <v>0</v>
      </c>
      <c r="V24" s="850">
        <f>(V21+V22)*E109</f>
        <v>0</v>
      </c>
    </row>
    <row r="25" spans="1:27" ht="18.600000000000001" customHeight="1" thickBot="1">
      <c r="A25" s="83"/>
      <c r="D25" s="80"/>
      <c r="E25" s="80" t="s">
        <v>90</v>
      </c>
      <c r="F25" s="80"/>
      <c r="G25" s="341" t="s">
        <v>99</v>
      </c>
      <c r="H25" s="101">
        <f>'2-2 算定シート（燃焼式）'!L35</f>
        <v>0</v>
      </c>
      <c r="I25" s="103"/>
      <c r="L25" s="1327" t="s">
        <v>362</v>
      </c>
      <c r="M25" s="1328"/>
      <c r="N25" s="1329"/>
      <c r="O25" s="810" t="s">
        <v>360</v>
      </c>
      <c r="P25" s="1007"/>
      <c r="Q25" s="821" t="e">
        <f>Q23+Q24</f>
        <v>#N/A</v>
      </c>
      <c r="R25" s="1030"/>
      <c r="S25" s="419" t="e">
        <f>S23+S24</f>
        <v>#N/A</v>
      </c>
      <c r="T25" s="851" t="e">
        <f>T23+T24</f>
        <v>#N/A</v>
      </c>
      <c r="U25" s="852">
        <f>U23+U24</f>
        <v>0</v>
      </c>
      <c r="V25" s="847" t="e">
        <f>V23+V24</f>
        <v>#N/A</v>
      </c>
    </row>
    <row r="26" spans="1:27" ht="18.600000000000001" customHeight="1" thickBot="1">
      <c r="A26" s="83"/>
      <c r="C26" s="150" t="s">
        <v>667</v>
      </c>
      <c r="D26" s="81" t="s">
        <v>666</v>
      </c>
      <c r="E26" s="82" t="s">
        <v>663</v>
      </c>
      <c r="F26" s="82"/>
      <c r="G26" s="261" t="s">
        <v>99</v>
      </c>
      <c r="H26" s="636">
        <f>'2-2 算定シート（燃焼式）'!L36</f>
        <v>0</v>
      </c>
      <c r="L26" s="1349" t="s">
        <v>389</v>
      </c>
      <c r="M26" s="1345"/>
      <c r="N26" s="822" t="s">
        <v>240</v>
      </c>
      <c r="O26" s="810" t="s">
        <v>364</v>
      </c>
      <c r="P26" s="1007"/>
      <c r="Q26" s="823">
        <f>Q20*$C$95</f>
        <v>0</v>
      </c>
      <c r="R26" s="1031"/>
      <c r="S26" s="663">
        <f>J8*C95</f>
        <v>0</v>
      </c>
      <c r="T26" s="853" t="e">
        <f>T20*C95</f>
        <v>#N/A</v>
      </c>
      <c r="U26" s="854">
        <f>U20*C95</f>
        <v>0</v>
      </c>
      <c r="V26" s="855" t="e">
        <f>V20*C95</f>
        <v>#N/A</v>
      </c>
      <c r="X26" s="693" t="s">
        <v>799</v>
      </c>
    </row>
    <row r="27" spans="1:27" ht="18.600000000000001" customHeight="1" thickBot="1">
      <c r="A27" s="83"/>
      <c r="D27" s="82"/>
      <c r="E27" s="82" t="s">
        <v>664</v>
      </c>
      <c r="F27" s="82"/>
      <c r="G27" s="261" t="s">
        <v>99</v>
      </c>
      <c r="H27" s="642">
        <f>'2-2 算定シート（燃焼式）'!L37</f>
        <v>0</v>
      </c>
      <c r="I27" s="643">
        <f>'2-2 算定シート（燃焼式）'!L38</f>
        <v>0</v>
      </c>
      <c r="J27" s="645" t="s">
        <v>820</v>
      </c>
      <c r="K27" s="639"/>
      <c r="L27" s="1344" t="s">
        <v>389</v>
      </c>
      <c r="M27" s="1345"/>
      <c r="N27" s="822" t="s">
        <v>247</v>
      </c>
      <c r="O27" s="810" t="s">
        <v>364</v>
      </c>
      <c r="P27" s="1007"/>
      <c r="Q27" s="823">
        <f>(Q21+Q22)*$C$96</f>
        <v>0</v>
      </c>
      <c r="R27" s="1031"/>
      <c r="S27" s="663">
        <f>J9*C96/1000</f>
        <v>0</v>
      </c>
      <c r="T27" s="853">
        <f>(T21+T22)*C96</f>
        <v>0</v>
      </c>
      <c r="U27" s="854">
        <f>(U21+U22)*C96</f>
        <v>0</v>
      </c>
      <c r="V27" s="855">
        <f>(V21+V22)*C96</f>
        <v>0</v>
      </c>
      <c r="X27" s="693" t="s">
        <v>862</v>
      </c>
    </row>
    <row r="28" spans="1:27" ht="18.600000000000001" customHeight="1" thickBot="1">
      <c r="A28" s="83"/>
      <c r="D28" s="149"/>
      <c r="E28" s="80" t="s">
        <v>137</v>
      </c>
      <c r="F28" s="80"/>
      <c r="G28" s="325" t="s">
        <v>99</v>
      </c>
      <c r="H28" s="641">
        <f>I27+I28</f>
        <v>0</v>
      </c>
      <c r="I28" s="644">
        <f>'2-2 算定シート（燃焼式）'!L39</f>
        <v>0</v>
      </c>
      <c r="J28" s="646" t="s">
        <v>822</v>
      </c>
      <c r="K28" s="640"/>
      <c r="L28" s="1344" t="s">
        <v>389</v>
      </c>
      <c r="M28" s="1345"/>
      <c r="N28" s="822" t="s">
        <v>365</v>
      </c>
      <c r="O28" s="810" t="s">
        <v>364</v>
      </c>
      <c r="P28" s="1007"/>
      <c r="Q28" s="823">
        <f>Q26+Q27</f>
        <v>0</v>
      </c>
      <c r="R28" s="1032"/>
      <c r="S28" s="664">
        <f>S26+S27</f>
        <v>0</v>
      </c>
      <c r="T28" s="853" t="e">
        <f>T26+T27</f>
        <v>#N/A</v>
      </c>
      <c r="U28" s="854">
        <f>U26+U27</f>
        <v>0</v>
      </c>
      <c r="V28" s="855" t="e">
        <f>V26+V27</f>
        <v>#N/A</v>
      </c>
    </row>
    <row r="29" spans="1:27" ht="18.600000000000001" customHeight="1" thickBot="1">
      <c r="A29" s="83"/>
      <c r="D29" s="10" t="s">
        <v>647</v>
      </c>
      <c r="E29" s="82" t="s">
        <v>133</v>
      </c>
      <c r="F29"/>
      <c r="G29" s="261" t="s">
        <v>99</v>
      </c>
      <c r="H29" s="637">
        <f>'2-2 算定シート（燃焼式）'!L26</f>
        <v>0</v>
      </c>
      <c r="I29"/>
      <c r="J29" s="638">
        <f>H29</f>
        <v>0</v>
      </c>
      <c r="L29" s="1327" t="s">
        <v>879</v>
      </c>
      <c r="M29" s="1328"/>
      <c r="N29" s="1329"/>
      <c r="O29" s="810" t="s">
        <v>263</v>
      </c>
      <c r="P29" s="1011"/>
      <c r="Q29" s="824"/>
      <c r="R29" s="824"/>
      <c r="S29" s="1">
        <f>(S21+S22)*2.4*3.6/1000</f>
        <v>0</v>
      </c>
      <c r="W29" s="12" t="s">
        <v>880</v>
      </c>
    </row>
    <row r="30" spans="1:27" ht="18.600000000000001" customHeight="1" thickBot="1">
      <c r="A30" s="83"/>
      <c r="E30" s="82" t="s">
        <v>134</v>
      </c>
      <c r="F30"/>
      <c r="G30" s="583" t="s">
        <v>776</v>
      </c>
      <c r="H30" s="184">
        <f>'2-2 算定シート（燃焼式）'!L27</f>
        <v>0</v>
      </c>
      <c r="I30" t="s">
        <v>443</v>
      </c>
      <c r="J30" s="310">
        <f>H30</f>
        <v>0</v>
      </c>
      <c r="S30" s="82"/>
      <c r="T30" s="77"/>
    </row>
    <row r="31" spans="1:27" ht="18.600000000000001" customHeight="1" thickBot="1">
      <c r="A31" s="83"/>
      <c r="D31" s="235"/>
      <c r="E31" s="80" t="s">
        <v>137</v>
      </c>
      <c r="F31" s="238"/>
      <c r="G31" s="325" t="s">
        <v>99</v>
      </c>
      <c r="H31" s="184">
        <f>'2-2 算定シート（燃焼式）'!L28</f>
        <v>0</v>
      </c>
      <c r="I31"/>
      <c r="J31" s="173">
        <f>IF(H31=0,H28,H31)</f>
        <v>0</v>
      </c>
      <c r="L31" s="83" t="s">
        <v>920</v>
      </c>
      <c r="S31" s="82"/>
      <c r="T31" s="77"/>
    </row>
    <row r="32" spans="1:27" ht="18.600000000000001" customHeight="1" thickTop="1" thickBot="1">
      <c r="A32" s="17" t="s">
        <v>398</v>
      </c>
      <c r="B32" s="234">
        <f>'2-2 算定シート（燃焼式）'!L42</f>
        <v>0</v>
      </c>
      <c r="D32" s="237"/>
      <c r="E32" s="237"/>
      <c r="F32" s="404" t="s">
        <v>219</v>
      </c>
      <c r="G32" s="403" t="s">
        <v>284</v>
      </c>
      <c r="H32" s="406" cm="1">
        <f t="array" ref="H32:I32">'2-2 算定シート（燃焼式）'!L53:M53</f>
        <v>0</v>
      </c>
      <c r="I32" s="1">
        <v>0</v>
      </c>
      <c r="J32" s="1048" t="s">
        <v>944</v>
      </c>
      <c r="L32" s="12" t="s">
        <v>367</v>
      </c>
      <c r="M32" s="12"/>
      <c r="N32" s="12"/>
      <c r="O32" s="12"/>
      <c r="P32" s="12"/>
      <c r="Q32" s="878" t="s">
        <v>399</v>
      </c>
      <c r="R32" s="879"/>
      <c r="S32" s="609" t="s">
        <v>673</v>
      </c>
      <c r="T32" s="880" t="s">
        <v>403</v>
      </c>
      <c r="U32" s="881" t="s">
        <v>222</v>
      </c>
      <c r="V32" s="878" t="s">
        <v>399</v>
      </c>
      <c r="W32" s="609" t="s">
        <v>673</v>
      </c>
      <c r="X32" s="1353" t="s">
        <v>403</v>
      </c>
      <c r="Y32" s="1353"/>
      <c r="Z32" s="1353"/>
      <c r="AA32" s="1354"/>
    </row>
    <row r="33" spans="1:27" ht="18.600000000000001" customHeight="1" thickBot="1">
      <c r="A33" s="17" t="s">
        <v>145</v>
      </c>
      <c r="B33" s="234">
        <f>'2-2 算定シート（燃焼式）'!L43</f>
        <v>0</v>
      </c>
      <c r="C33" s="150" t="s">
        <v>921</v>
      </c>
      <c r="D33" s="81" t="s">
        <v>79</v>
      </c>
      <c r="E33" s="82" t="s">
        <v>161</v>
      </c>
      <c r="F33" s="82"/>
      <c r="G33" s="261" t="s">
        <v>99</v>
      </c>
      <c r="H33" s="102">
        <f>'2-2 算定シート（燃焼式）'!L46</f>
        <v>0</v>
      </c>
      <c r="I33"/>
      <c r="J33" s="41" t="str">
        <f>IF(H33&lt;&gt;0,H33,IF(H37&lt;&gt;0,H37,IF(H43&lt;&gt;0,H43,IF(H47&lt;&gt;0,H47,"0"))))</f>
        <v>0</v>
      </c>
      <c r="K33" s="1047" t="s">
        <v>945</v>
      </c>
      <c r="L33" s="12" t="s">
        <v>415</v>
      </c>
      <c r="M33" s="12"/>
      <c r="N33" s="12"/>
      <c r="O33" s="12"/>
      <c r="P33" s="12"/>
      <c r="Q33" s="879" t="s">
        <v>375</v>
      </c>
      <c r="R33" s="879"/>
      <c r="S33" s="421"/>
      <c r="T33" s="882" t="s">
        <v>376</v>
      </c>
      <c r="U33" s="879" t="s">
        <v>376</v>
      </c>
      <c r="V33" s="879" t="s">
        <v>377</v>
      </c>
      <c r="W33" s="430" t="s">
        <v>377</v>
      </c>
      <c r="X33" s="879" t="s">
        <v>377</v>
      </c>
      <c r="Y33" s="879" t="s">
        <v>377</v>
      </c>
      <c r="Z33" s="879" t="s">
        <v>377</v>
      </c>
      <c r="AA33" s="879" t="s">
        <v>377</v>
      </c>
    </row>
    <row r="34" spans="1:27" ht="18.600000000000001" customHeight="1" thickBot="1">
      <c r="D34" s="81"/>
      <c r="E34" s="82" t="s">
        <v>162</v>
      </c>
      <c r="F34" s="82"/>
      <c r="G34" s="261" t="s">
        <v>99</v>
      </c>
      <c r="H34" s="102">
        <f>'2-2 算定シート（燃焼式）'!L47</f>
        <v>0</v>
      </c>
      <c r="I34"/>
      <c r="J34" s="50" t="str">
        <f>IF(H34&lt;&gt;0,H34,IF(H38&lt;&gt;0,H38,IF(H44&lt;&gt;0,H44,IF(H48&lt;&gt;0,H48,IF(H51&lt;&gt;0,H51,"0")))))</f>
        <v>0</v>
      </c>
      <c r="K34" s="1047" t="s">
        <v>946</v>
      </c>
      <c r="L34" s="1337" t="s">
        <v>368</v>
      </c>
      <c r="M34" s="1338"/>
      <c r="N34" s="1339"/>
      <c r="O34" s="858"/>
      <c r="P34" s="856"/>
      <c r="Q34" s="856" t="s">
        <v>399</v>
      </c>
      <c r="R34" s="980"/>
      <c r="S34" s="422" t="s">
        <v>399</v>
      </c>
      <c r="T34" s="857" t="s">
        <v>403</v>
      </c>
      <c r="U34" s="858" t="s">
        <v>222</v>
      </c>
      <c r="V34" s="856" t="s">
        <v>179</v>
      </c>
      <c r="W34" s="431" t="s">
        <v>300</v>
      </c>
      <c r="X34" s="857" t="s">
        <v>371</v>
      </c>
      <c r="Y34" s="858" t="s">
        <v>372</v>
      </c>
      <c r="Z34" s="856" t="s">
        <v>179</v>
      </c>
      <c r="AA34" s="858" t="s">
        <v>373</v>
      </c>
    </row>
    <row r="35" spans="1:27" ht="18.600000000000001" customHeight="1" thickBot="1">
      <c r="A35" s="17"/>
      <c r="D35" s="81"/>
      <c r="E35" s="82" t="s">
        <v>131</v>
      </c>
      <c r="F35" s="82"/>
      <c r="G35" s="261" t="s">
        <v>791</v>
      </c>
      <c r="H35" s="102">
        <f>'2-2 算定シート（燃焼式）'!L48</f>
        <v>0</v>
      </c>
      <c r="I35"/>
      <c r="J35" s="50" t="str">
        <f>IF(H35&lt;&gt;0,H35,IF(H39&lt;&gt;0,H39,IF(H45&lt;&gt;0,H45,IF(H49&lt;&gt;0,H49,"0"))))</f>
        <v>0</v>
      </c>
      <c r="K35" s="240" t="s">
        <v>947</v>
      </c>
      <c r="L35" s="1341" t="s">
        <v>268</v>
      </c>
      <c r="M35" s="1342"/>
      <c r="N35" s="1343"/>
      <c r="O35" s="861"/>
      <c r="P35" s="859"/>
      <c r="Q35" s="859" t="s">
        <v>404</v>
      </c>
      <c r="R35" s="981"/>
      <c r="S35" s="423" t="s">
        <v>404</v>
      </c>
      <c r="T35" s="860" t="s">
        <v>414</v>
      </c>
      <c r="U35" s="861" t="s">
        <v>416</v>
      </c>
      <c r="V35" s="859" t="s">
        <v>335</v>
      </c>
      <c r="W35" s="423" t="s">
        <v>335</v>
      </c>
      <c r="X35" s="860" t="s">
        <v>335</v>
      </c>
      <c r="Y35" s="861" t="s">
        <v>335</v>
      </c>
      <c r="Z35" s="859" t="s">
        <v>335</v>
      </c>
      <c r="AA35" s="861" t="s">
        <v>335</v>
      </c>
    </row>
    <row r="36" spans="1:27" ht="18.600000000000001" customHeight="1" thickBot="1">
      <c r="A36" s="17"/>
      <c r="D36" s="79"/>
      <c r="E36" s="80" t="s">
        <v>132</v>
      </c>
      <c r="F36" s="80"/>
      <c r="G36" s="341" t="s">
        <v>791</v>
      </c>
      <c r="H36" s="102">
        <f>'2-2 算定シート（燃焼式）'!L49</f>
        <v>0</v>
      </c>
      <c r="I36"/>
      <c r="J36" s="385" t="str">
        <f>IF(H36&lt;&gt;0,H36,IF(H40&lt;&gt;0,H40,IF(H46&lt;&gt;0,H46,IF(H50&lt;&gt;0,H50,IF(H52&lt;&gt;0,H52,"0")))))</f>
        <v>0</v>
      </c>
      <c r="K36" s="240" t="s">
        <v>948</v>
      </c>
      <c r="L36" s="1335" t="s">
        <v>346</v>
      </c>
      <c r="M36" s="1335"/>
      <c r="N36" s="1335"/>
      <c r="O36" s="863" t="s">
        <v>405</v>
      </c>
      <c r="P36" s="1012"/>
      <c r="Q36" s="864" t="str">
        <f>J33</f>
        <v>0</v>
      </c>
      <c r="R36" s="1033"/>
      <c r="S36" s="424"/>
      <c r="T36" s="883" t="str">
        <f>J33</f>
        <v>0</v>
      </c>
      <c r="U36" s="884"/>
      <c r="V36" s="864" t="str">
        <f>J33</f>
        <v>0</v>
      </c>
      <c r="W36" s="432"/>
      <c r="X36" s="901" t="str">
        <f>J33</f>
        <v>0</v>
      </c>
      <c r="Y36" s="832" t="str">
        <f>J33</f>
        <v>0</v>
      </c>
      <c r="Z36" s="832" t="str">
        <f>J33</f>
        <v>0</v>
      </c>
      <c r="AA36" s="832" t="str">
        <f>J33</f>
        <v>0</v>
      </c>
    </row>
    <row r="37" spans="1:27" ht="18.600000000000001" customHeight="1" thickBot="1">
      <c r="A37" s="17"/>
      <c r="C37" s="150" t="s">
        <v>400</v>
      </c>
      <c r="D37" s="81" t="s">
        <v>82</v>
      </c>
      <c r="E37" s="82" t="s">
        <v>87</v>
      </c>
      <c r="F37" s="82"/>
      <c r="G37" s="261" t="s">
        <v>99</v>
      </c>
      <c r="H37" s="102">
        <f>'2-2 算定シート（燃焼式）'!L54</f>
        <v>0</v>
      </c>
      <c r="I37" s="152"/>
      <c r="J37" s="258">
        <f>H41</f>
        <v>0</v>
      </c>
      <c r="K37" s="240" t="s">
        <v>949</v>
      </c>
      <c r="L37" s="1335" t="s">
        <v>273</v>
      </c>
      <c r="M37" s="1335"/>
      <c r="N37" s="1335"/>
      <c r="O37" s="863" t="s">
        <v>405</v>
      </c>
      <c r="P37" s="1012"/>
      <c r="Q37" s="864" t="str">
        <f t="shared" ref="Q37:Q38" si="2">J34</f>
        <v>0</v>
      </c>
      <c r="R37" s="1033"/>
      <c r="S37" s="424"/>
      <c r="T37" s="883" t="str">
        <f>J34</f>
        <v>0</v>
      </c>
      <c r="U37" s="832" t="str">
        <f>J34</f>
        <v>0</v>
      </c>
      <c r="V37" s="864" t="str">
        <f>J34</f>
        <v>0</v>
      </c>
      <c r="W37" s="432"/>
      <c r="X37" s="901" t="str">
        <f>J34</f>
        <v>0</v>
      </c>
      <c r="Y37" s="832" t="str">
        <f>J34</f>
        <v>0</v>
      </c>
      <c r="Z37" s="832" t="str">
        <f>J34</f>
        <v>0</v>
      </c>
      <c r="AA37" s="832" t="str">
        <f>J34</f>
        <v>0</v>
      </c>
    </row>
    <row r="38" spans="1:27" ht="18.600000000000001" customHeight="1" thickBot="1">
      <c r="A38" s="17"/>
      <c r="D38" s="81"/>
      <c r="E38" s="82" t="s">
        <v>88</v>
      </c>
      <c r="F38" s="82"/>
      <c r="G38" s="261" t="s">
        <v>99</v>
      </c>
      <c r="H38" s="102">
        <f>'2-2 算定シート（燃焼式）'!L55</f>
        <v>0</v>
      </c>
      <c r="I38" s="152"/>
      <c r="J38" s="258">
        <f>H42</f>
        <v>0</v>
      </c>
      <c r="K38" s="240" t="s">
        <v>950</v>
      </c>
      <c r="L38" s="1335" t="s">
        <v>379</v>
      </c>
      <c r="M38" s="1335"/>
      <c r="N38" s="1335"/>
      <c r="O38" s="863" t="s">
        <v>405</v>
      </c>
      <c r="P38" s="1012"/>
      <c r="Q38" s="864" t="str">
        <f t="shared" si="2"/>
        <v>0</v>
      </c>
      <c r="R38" s="1033"/>
      <c r="S38" s="424"/>
      <c r="T38" s="885" t="e">
        <f>J35*I74/3.6</f>
        <v>#N/A</v>
      </c>
      <c r="U38" s="884"/>
      <c r="V38" s="864" t="str">
        <f>J35</f>
        <v>0</v>
      </c>
      <c r="W38" s="432"/>
      <c r="X38" s="901" t="str">
        <f>J35</f>
        <v>0</v>
      </c>
      <c r="Y38" s="832" t="str">
        <f>J35</f>
        <v>0</v>
      </c>
      <c r="Z38" s="832" t="str">
        <f>J35</f>
        <v>0</v>
      </c>
      <c r="AA38" s="832" t="str">
        <f>J35</f>
        <v>0</v>
      </c>
    </row>
    <row r="39" spans="1:27" ht="18.600000000000001" customHeight="1" thickBot="1">
      <c r="A39" s="17"/>
      <c r="E39" s="82" t="s">
        <v>135</v>
      </c>
      <c r="F39" s="82"/>
      <c r="G39" s="261" t="s">
        <v>99</v>
      </c>
      <c r="H39" s="102">
        <f>'2-2 算定シート（燃焼式）'!L56</f>
        <v>0</v>
      </c>
      <c r="I39" s="1"/>
      <c r="J39"/>
      <c r="K39"/>
      <c r="L39" s="1335" t="s">
        <v>381</v>
      </c>
      <c r="M39" s="1335"/>
      <c r="N39" s="1335"/>
      <c r="O39" s="863" t="s">
        <v>405</v>
      </c>
      <c r="P39" s="1012"/>
      <c r="Q39" s="864" t="str">
        <f>J36</f>
        <v>0</v>
      </c>
      <c r="R39" s="1033"/>
      <c r="S39" s="424"/>
      <c r="T39" s="885" t="e">
        <f>J36*I74/3.6</f>
        <v>#N/A</v>
      </c>
      <c r="U39" s="835">
        <f>IFERROR(J36*I74/3.6,0)</f>
        <v>0</v>
      </c>
      <c r="V39" s="864" t="str">
        <f>J36</f>
        <v>0</v>
      </c>
      <c r="W39" s="432"/>
      <c r="X39" s="901" t="str">
        <f>J36</f>
        <v>0</v>
      </c>
      <c r="Y39" s="832" t="str">
        <f>J36</f>
        <v>0</v>
      </c>
      <c r="Z39" s="832" t="str">
        <f>J36</f>
        <v>0</v>
      </c>
      <c r="AA39" s="832" t="str">
        <f>J36</f>
        <v>0</v>
      </c>
    </row>
    <row r="40" spans="1:27" ht="18.600000000000001" customHeight="1" thickBot="1">
      <c r="A40" s="17"/>
      <c r="D40" s="82"/>
      <c r="E40" s="82" t="s">
        <v>136</v>
      </c>
      <c r="F40" s="82"/>
      <c r="G40" s="261" t="s">
        <v>99</v>
      </c>
      <c r="H40" s="102">
        <f>'2-2 算定シート（燃焼式）'!L57</f>
        <v>0</v>
      </c>
      <c r="I40" s="345" t="s">
        <v>284</v>
      </c>
      <c r="J40" s="344">
        <f>H32</f>
        <v>0</v>
      </c>
      <c r="K40"/>
      <c r="L40" s="1335" t="s">
        <v>382</v>
      </c>
      <c r="M40" s="1335"/>
      <c r="N40" s="1335"/>
      <c r="O40" s="863" t="s">
        <v>406</v>
      </c>
      <c r="P40" s="1012"/>
      <c r="Q40" s="865" t="e">
        <f>Q36/Q38</f>
        <v>#DIV/0!</v>
      </c>
      <c r="R40" s="1034"/>
      <c r="S40" s="424"/>
      <c r="T40" s="886" t="e">
        <f>T36/T38</f>
        <v>#N/A</v>
      </c>
      <c r="U40" s="832"/>
      <c r="V40" s="865" t="e">
        <f>V36/V38/M116</f>
        <v>#DIV/0!</v>
      </c>
      <c r="W40" s="432"/>
      <c r="X40" s="902" t="e">
        <f>X36/X38/M116</f>
        <v>#DIV/0!</v>
      </c>
      <c r="Y40" s="914" t="e">
        <f>Y36/Y38*M119/M116</f>
        <v>#DIV/0!</v>
      </c>
      <c r="Z40" s="838" t="e">
        <f>Z36/Z38/M116</f>
        <v>#DIV/0!</v>
      </c>
      <c r="AA40" s="838" t="e">
        <f>AA36/AA38/M116</f>
        <v>#DIV/0!</v>
      </c>
    </row>
    <row r="41" spans="1:27" ht="18.600000000000001" customHeight="1">
      <c r="A41" s="17"/>
      <c r="D41" s="82"/>
      <c r="E41" s="82" t="s">
        <v>89</v>
      </c>
      <c r="F41" s="82"/>
      <c r="G41" s="261" t="s">
        <v>99</v>
      </c>
      <c r="H41" s="102">
        <f>'2-2 算定シート（燃焼式）'!L58</f>
        <v>0</v>
      </c>
      <c r="I41" s="1"/>
      <c r="J41"/>
      <c r="K41"/>
      <c r="L41" s="862" t="s">
        <v>383</v>
      </c>
      <c r="M41" s="862"/>
      <c r="N41" s="862"/>
      <c r="O41" s="863" t="s">
        <v>406</v>
      </c>
      <c r="P41" s="1012"/>
      <c r="Q41" s="865" t="e">
        <f>Q37/Q39</f>
        <v>#DIV/0!</v>
      </c>
      <c r="R41" s="1034"/>
      <c r="S41" s="424"/>
      <c r="T41" s="886" t="e">
        <f>T37/T39</f>
        <v>#N/A</v>
      </c>
      <c r="U41" s="838">
        <f>IFERROR(U37/U39,0)</f>
        <v>0</v>
      </c>
      <c r="V41" s="865" t="e">
        <f>V37/V39/M116</f>
        <v>#DIV/0!</v>
      </c>
      <c r="W41" s="432"/>
      <c r="X41" s="902" t="e">
        <f>X37/X39/M116</f>
        <v>#DIV/0!</v>
      </c>
      <c r="Y41" s="838" t="e">
        <f>Y37/Y39/M116</f>
        <v>#DIV/0!</v>
      </c>
      <c r="Z41" s="838" t="e">
        <f>Z37/Z39/M116</f>
        <v>#DIV/0!</v>
      </c>
      <c r="AA41" s="903"/>
    </row>
    <row r="42" spans="1:27" ht="18.600000000000001" customHeight="1" thickBot="1">
      <c r="A42" s="17"/>
      <c r="D42" s="80"/>
      <c r="E42" s="80" t="s">
        <v>90</v>
      </c>
      <c r="F42" s="80"/>
      <c r="G42" s="325" t="s">
        <v>99</v>
      </c>
      <c r="H42" s="102">
        <f>'2-2 算定シート（燃焼式）'!L59</f>
        <v>0</v>
      </c>
      <c r="I42" s="1"/>
      <c r="J42"/>
      <c r="K42"/>
      <c r="L42" s="866" t="s">
        <v>288</v>
      </c>
      <c r="M42" s="866"/>
      <c r="N42" s="866"/>
      <c r="O42" s="863" t="s">
        <v>405</v>
      </c>
      <c r="P42" s="1012"/>
      <c r="Q42" s="864" t="str">
        <f>J55</f>
        <v>0</v>
      </c>
      <c r="R42" s="1033"/>
      <c r="S42" s="424"/>
      <c r="T42" s="883">
        <f>H54</f>
        <v>0</v>
      </c>
      <c r="U42" s="832"/>
      <c r="V42" s="869"/>
      <c r="W42" s="432"/>
      <c r="X42" s="901" t="str">
        <f>J55</f>
        <v>0</v>
      </c>
      <c r="Y42" s="832" t="str">
        <f>J55</f>
        <v>0</v>
      </c>
      <c r="Z42" s="884"/>
      <c r="AA42" s="832" t="str">
        <f>J55</f>
        <v>0</v>
      </c>
    </row>
    <row r="43" spans="1:27" ht="18.600000000000001" customHeight="1">
      <c r="A43" s="17"/>
      <c r="C43" s="150" t="s">
        <v>401</v>
      </c>
      <c r="D43" s="81" t="s">
        <v>83</v>
      </c>
      <c r="E43" s="82" t="s">
        <v>87</v>
      </c>
      <c r="F43" s="82"/>
      <c r="G43" s="261" t="s">
        <v>99</v>
      </c>
      <c r="H43" s="102">
        <f>'2-2 算定シート（燃焼式）'!L60</f>
        <v>0</v>
      </c>
      <c r="I43"/>
      <c r="J43" t="s">
        <v>443</v>
      </c>
      <c r="K43"/>
      <c r="L43" s="866" t="s">
        <v>384</v>
      </c>
      <c r="M43" s="866"/>
      <c r="N43" s="866"/>
      <c r="O43" s="863" t="s">
        <v>405</v>
      </c>
      <c r="P43" s="1012"/>
      <c r="Q43" s="864" t="str">
        <f>J56</f>
        <v>0</v>
      </c>
      <c r="R43" s="1033"/>
      <c r="S43" s="424"/>
      <c r="T43" s="883">
        <f>H55</f>
        <v>0</v>
      </c>
      <c r="U43" s="832"/>
      <c r="V43" s="869"/>
      <c r="W43" s="432"/>
      <c r="X43" s="901" t="str">
        <f>J56</f>
        <v>0</v>
      </c>
      <c r="Y43" s="832" t="str">
        <f>J56</f>
        <v>0</v>
      </c>
      <c r="Z43" s="884"/>
      <c r="AA43" s="832" t="str">
        <f>J56</f>
        <v>0</v>
      </c>
    </row>
    <row r="44" spans="1:27" ht="18.600000000000001" customHeight="1">
      <c r="A44" s="17"/>
      <c r="D44" s="81"/>
      <c r="E44" s="82" t="s">
        <v>88</v>
      </c>
      <c r="F44" s="82"/>
      <c r="G44" s="261" t="s">
        <v>99</v>
      </c>
      <c r="H44" s="102">
        <f>'2-2 算定シート（燃焼式）'!L61</f>
        <v>0</v>
      </c>
      <c r="I44"/>
      <c r="K44"/>
      <c r="L44" s="867" t="s">
        <v>292</v>
      </c>
      <c r="M44" s="867"/>
      <c r="N44" s="867"/>
      <c r="O44" s="863" t="s">
        <v>405</v>
      </c>
      <c r="P44" s="1012"/>
      <c r="Q44" s="864" t="str">
        <f>J57</f>
        <v>0</v>
      </c>
      <c r="R44" s="1033"/>
      <c r="S44" s="424"/>
      <c r="T44" s="883" t="str">
        <f>J57</f>
        <v>0</v>
      </c>
      <c r="U44" s="832" t="str">
        <f>J57</f>
        <v>0</v>
      </c>
      <c r="V44" s="869"/>
      <c r="W44" s="432"/>
      <c r="X44" s="901" t="str">
        <f>J57</f>
        <v>0</v>
      </c>
      <c r="Y44" s="832" t="str">
        <f>J57</f>
        <v>0</v>
      </c>
      <c r="Z44" s="884"/>
      <c r="AA44" s="832" t="str">
        <f>J57</f>
        <v>0</v>
      </c>
    </row>
    <row r="45" spans="1:27" ht="18.600000000000001" customHeight="1">
      <c r="A45" s="17"/>
      <c r="D45" s="81"/>
      <c r="E45" s="82" t="s">
        <v>89</v>
      </c>
      <c r="F45" s="82"/>
      <c r="G45" s="261" t="s">
        <v>99</v>
      </c>
      <c r="H45" s="102">
        <f>'2-2 算定シート（燃焼式）'!L62</f>
        <v>0</v>
      </c>
      <c r="I45"/>
      <c r="J45"/>
      <c r="K45"/>
      <c r="L45" s="868" t="s">
        <v>385</v>
      </c>
      <c r="M45" s="868"/>
      <c r="N45" s="868"/>
      <c r="O45" s="863" t="s">
        <v>405</v>
      </c>
      <c r="P45" s="1012"/>
      <c r="Q45" s="869"/>
      <c r="R45" s="1035"/>
      <c r="S45" s="424"/>
      <c r="T45" s="887"/>
      <c r="U45" s="832"/>
      <c r="V45" s="869"/>
      <c r="W45" s="432"/>
      <c r="X45" s="901">
        <f>J59</f>
        <v>0</v>
      </c>
      <c r="Y45" s="832">
        <f>J59</f>
        <v>0</v>
      </c>
      <c r="Z45" s="884"/>
      <c r="AA45" s="884"/>
    </row>
    <row r="46" spans="1:27" ht="18.600000000000001" customHeight="1" thickBot="1">
      <c r="A46" s="17"/>
      <c r="D46" s="79"/>
      <c r="E46" s="80" t="s">
        <v>90</v>
      </c>
      <c r="F46" s="80"/>
      <c r="G46" s="325" t="s">
        <v>99</v>
      </c>
      <c r="H46" s="102">
        <f>'2-2 算定シート（燃焼式）'!L63</f>
        <v>0</v>
      </c>
      <c r="I46"/>
      <c r="K46"/>
      <c r="L46" s="1335" t="s">
        <v>417</v>
      </c>
      <c r="M46" s="1335"/>
      <c r="N46" s="1335"/>
      <c r="O46" s="863" t="s">
        <v>406</v>
      </c>
      <c r="P46" s="1012"/>
      <c r="Q46" s="869"/>
      <c r="R46" s="1035"/>
      <c r="S46" s="425">
        <f>H32</f>
        <v>0</v>
      </c>
      <c r="T46" s="887"/>
      <c r="U46" s="832"/>
      <c r="V46" s="869"/>
      <c r="W46" s="433">
        <f>H32</f>
        <v>0</v>
      </c>
      <c r="X46" s="904"/>
      <c r="Y46" s="884"/>
      <c r="Z46" s="884"/>
      <c r="AA46" s="884"/>
    </row>
    <row r="47" spans="1:27" ht="18.600000000000001" customHeight="1">
      <c r="A47" s="17"/>
      <c r="C47" s="1359" t="s">
        <v>402</v>
      </c>
      <c r="D47" s="81" t="s">
        <v>640</v>
      </c>
      <c r="E47" s="82" t="s">
        <v>87</v>
      </c>
      <c r="F47" s="82"/>
      <c r="G47" s="261" t="s">
        <v>99</v>
      </c>
      <c r="H47" s="102">
        <f>'2-2 算定シート（燃焼式）'!L64</f>
        <v>0</v>
      </c>
      <c r="I47" s="1"/>
      <c r="J47" s="631" t="s">
        <v>817</v>
      </c>
      <c r="K47"/>
      <c r="L47" s="1335" t="s">
        <v>352</v>
      </c>
      <c r="M47" s="1335"/>
      <c r="N47" s="1335"/>
      <c r="O47" s="863" t="s">
        <v>263</v>
      </c>
      <c r="P47" s="1012"/>
      <c r="Q47" s="870">
        <f>IFERROR(Q15*(Q9/Q40),0)</f>
        <v>0</v>
      </c>
      <c r="R47" s="1036"/>
      <c r="S47" s="426"/>
      <c r="T47" s="888">
        <f>IFERROR(T15*(T9/T40)*(T36/T5),0)</f>
        <v>0</v>
      </c>
      <c r="U47" s="832"/>
      <c r="V47" s="870">
        <f>IFERROR(Q15*(Q9/V40)*(V36/Q5),0)</f>
        <v>0</v>
      </c>
      <c r="W47" s="432"/>
      <c r="X47" s="905">
        <f>IFERROR(T15*(T9/X40)*(X36/T5),0)</f>
        <v>0</v>
      </c>
      <c r="Y47" s="889">
        <f>IFERROR(T15*(T9/Y40)*(Y36/T5),0)</f>
        <v>0</v>
      </c>
      <c r="Z47" s="889">
        <f>IFERROR(T15*(T9/Z40),0)</f>
        <v>0</v>
      </c>
      <c r="AA47" s="889">
        <f>IFERROR(T15*(T9/AA40),0)</f>
        <v>0</v>
      </c>
    </row>
    <row r="48" spans="1:27" ht="18.600000000000001" customHeight="1">
      <c r="A48" s="17"/>
      <c r="C48" s="1359"/>
      <c r="D48" s="81"/>
      <c r="E48" s="82" t="s">
        <v>88</v>
      </c>
      <c r="F48" s="82"/>
      <c r="G48" s="261" t="s">
        <v>99</v>
      </c>
      <c r="H48" s="102">
        <f>'2-2 算定シート（燃焼式）'!L65</f>
        <v>0</v>
      </c>
      <c r="I48" s="1"/>
      <c r="K48"/>
      <c r="L48" s="862"/>
      <c r="M48" s="1355" t="s">
        <v>386</v>
      </c>
      <c r="N48" s="1356"/>
      <c r="O48" s="1357"/>
      <c r="P48" s="982"/>
      <c r="Q48" s="871" t="e">
        <f>Q47/E74/M112</f>
        <v>#N/A</v>
      </c>
      <c r="R48" s="1037"/>
      <c r="S48" s="426"/>
      <c r="T48" s="885" t="e">
        <f>T47/I74</f>
        <v>#N/A</v>
      </c>
      <c r="U48" s="832"/>
      <c r="V48" s="871" t="e">
        <f>V47/M116/I74</f>
        <v>#N/A</v>
      </c>
      <c r="W48" s="432"/>
      <c r="X48" s="900" t="e">
        <f>X47/M116/I74</f>
        <v>#N/A</v>
      </c>
      <c r="Y48" s="835" t="e">
        <f>Y47/M116/I74</f>
        <v>#N/A</v>
      </c>
      <c r="Z48" s="906" t="e">
        <f>Z47/M116/I74</f>
        <v>#N/A</v>
      </c>
      <c r="AA48" s="835" t="e">
        <f>AA47/M116/I74</f>
        <v>#N/A</v>
      </c>
    </row>
    <row r="49" spans="1:27" ht="18.600000000000001" customHeight="1">
      <c r="A49" s="17"/>
      <c r="C49" s="1359"/>
      <c r="D49" s="81"/>
      <c r="E49" s="82" t="s">
        <v>89</v>
      </c>
      <c r="F49" s="82"/>
      <c r="G49" s="261" t="s">
        <v>99</v>
      </c>
      <c r="H49" s="102">
        <f>'2-2 算定シート（燃焼式）'!L66</f>
        <v>0</v>
      </c>
      <c r="I49" s="1"/>
      <c r="K49"/>
      <c r="L49" s="1335" t="s">
        <v>355</v>
      </c>
      <c r="M49" s="1335"/>
      <c r="N49" s="1335"/>
      <c r="O49" s="863" t="s">
        <v>263</v>
      </c>
      <c r="P49" s="1012"/>
      <c r="Q49" s="870">
        <f>IFERROR(Q17*(Q10/Q41),0)</f>
        <v>0</v>
      </c>
      <c r="R49" s="1036"/>
      <c r="S49" s="426"/>
      <c r="T49" s="888">
        <f>IFERROR(T17*(T10/T41),0)</f>
        <v>0</v>
      </c>
      <c r="U49" s="889">
        <f>IFERROR(U17*(U10/U41),0)</f>
        <v>0</v>
      </c>
      <c r="V49" s="870">
        <f>IFERROR(Q17*(Q10/V41),0)</f>
        <v>0</v>
      </c>
      <c r="W49" s="432"/>
      <c r="X49" s="905">
        <f>IFERROR(T17*(T10/X41),0)</f>
        <v>0</v>
      </c>
      <c r="Y49" s="889">
        <f>IFERROR(T17*(T10/Y41),0)</f>
        <v>0</v>
      </c>
      <c r="Z49" s="889">
        <f>IFERROR(T17*(T10/Z41),0)</f>
        <v>0</v>
      </c>
      <c r="AA49" s="907"/>
    </row>
    <row r="50" spans="1:27" ht="18.600000000000001" customHeight="1" thickBot="1">
      <c r="A50" s="17"/>
      <c r="D50" s="79"/>
      <c r="E50" s="80" t="s">
        <v>90</v>
      </c>
      <c r="F50" s="80"/>
      <c r="G50" s="341" t="s">
        <v>99</v>
      </c>
      <c r="H50" s="102">
        <f>'2-2 算定シート（燃焼式）'!L67</f>
        <v>0</v>
      </c>
      <c r="I50" s="1"/>
      <c r="K50"/>
      <c r="L50" s="862"/>
      <c r="M50" s="1355" t="s">
        <v>386</v>
      </c>
      <c r="N50" s="1356"/>
      <c r="O50" s="1357"/>
      <c r="P50" s="982"/>
      <c r="Q50" s="871" t="e">
        <f>Q49/E74/M112</f>
        <v>#N/A</v>
      </c>
      <c r="R50" s="1037"/>
      <c r="S50" s="426"/>
      <c r="T50" s="885" t="e">
        <f>T49/I74</f>
        <v>#N/A</v>
      </c>
      <c r="U50" s="832"/>
      <c r="V50" s="871" t="e">
        <f>V49/M116/I74</f>
        <v>#N/A</v>
      </c>
      <c r="W50" s="432"/>
      <c r="X50" s="900" t="e">
        <f>X49/M116/I74</f>
        <v>#N/A</v>
      </c>
      <c r="Y50" s="835" t="e">
        <f>Y49/M116/I74</f>
        <v>#N/A</v>
      </c>
      <c r="Z50" s="835" t="e">
        <f>Z49/M116/I74</f>
        <v>#N/A</v>
      </c>
      <c r="AA50" s="907"/>
    </row>
    <row r="51" spans="1:27" ht="18.600000000000001" customHeight="1" thickBot="1">
      <c r="A51" s="17"/>
      <c r="D51" s="81" t="s">
        <v>668</v>
      </c>
      <c r="E51" s="82" t="s">
        <v>663</v>
      </c>
      <c r="F51" s="82"/>
      <c r="G51" s="261" t="s">
        <v>99</v>
      </c>
      <c r="H51" s="29">
        <f>'2-2 算定シート（燃焼式）'!L72</f>
        <v>0</v>
      </c>
      <c r="I51" s="1"/>
      <c r="K51"/>
      <c r="L51" s="1335" t="s">
        <v>356</v>
      </c>
      <c r="M51" s="1335"/>
      <c r="N51" s="1335"/>
      <c r="O51" s="863" t="s">
        <v>263</v>
      </c>
      <c r="P51" s="1012"/>
      <c r="Q51" s="871">
        <f>Q47+Q49</f>
        <v>0</v>
      </c>
      <c r="R51" s="1037"/>
      <c r="S51" s="427">
        <f>IFERROR(S19*(S14/S46),0)</f>
        <v>0</v>
      </c>
      <c r="T51" s="885">
        <f>T47+T49</f>
        <v>0</v>
      </c>
      <c r="U51" s="835">
        <f>U47+U49</f>
        <v>0</v>
      </c>
      <c r="V51" s="871">
        <f>+V47+V49</f>
        <v>0</v>
      </c>
      <c r="W51" s="434">
        <f>IFERROR((S19+S29)*(S14/(S46/2.4)),0)</f>
        <v>0</v>
      </c>
      <c r="X51" s="900">
        <f t="shared" ref="X51" si="3">X47+X49</f>
        <v>0</v>
      </c>
      <c r="Y51" s="835">
        <f t="shared" ref="Y51:Y52" si="4">Y47+Y49</f>
        <v>0</v>
      </c>
      <c r="Z51" s="835">
        <f>Z47+Z49</f>
        <v>0</v>
      </c>
      <c r="AA51" s="835">
        <f>AA47+AA49</f>
        <v>0</v>
      </c>
    </row>
    <row r="52" spans="1:27" ht="21" customHeight="1" thickBot="1">
      <c r="A52" s="17"/>
      <c r="C52" s="150" t="s">
        <v>442</v>
      </c>
      <c r="D52" s="81"/>
      <c r="E52" s="82" t="s">
        <v>664</v>
      </c>
      <c r="F52" s="82"/>
      <c r="G52" s="261" t="s">
        <v>99</v>
      </c>
      <c r="H52" s="648">
        <f>'2-2 算定シート（燃焼式）'!L73</f>
        <v>0</v>
      </c>
      <c r="I52" s="289">
        <f>'2-2 算定シート（燃焼式）'!L74</f>
        <v>0</v>
      </c>
      <c r="J52" s="645" t="s">
        <v>821</v>
      </c>
      <c r="K52" s="650"/>
      <c r="L52" s="872"/>
      <c r="M52" s="1355" t="s">
        <v>386</v>
      </c>
      <c r="N52" s="1356"/>
      <c r="O52" s="1357"/>
      <c r="P52" s="982"/>
      <c r="Q52" s="871" t="e">
        <f>Q48+Q50</f>
        <v>#N/A</v>
      </c>
      <c r="R52" s="1037"/>
      <c r="S52" s="536" t="e">
        <f>S51/I74/M112</f>
        <v>#N/A</v>
      </c>
      <c r="T52" s="885" t="e">
        <f>T51/I74</f>
        <v>#N/A</v>
      </c>
      <c r="U52" s="847" t="e">
        <f>U51/I74</f>
        <v>#N/A</v>
      </c>
      <c r="V52" s="871" t="e">
        <f>V48+V50</f>
        <v>#N/A</v>
      </c>
      <c r="W52" s="429" t="e">
        <f>W51/I74/2.4</f>
        <v>#N/A</v>
      </c>
      <c r="X52" s="900" t="e">
        <f>X48+X50</f>
        <v>#N/A</v>
      </c>
      <c r="Y52" s="835" t="e">
        <f t="shared" si="4"/>
        <v>#N/A</v>
      </c>
      <c r="Z52" s="835" t="e">
        <f>Z48+Z50</f>
        <v>#N/A</v>
      </c>
      <c r="AA52" s="835" t="e">
        <f>AA48+AA50</f>
        <v>#N/A</v>
      </c>
    </row>
    <row r="53" spans="1:27" ht="21" customHeight="1" thickBot="1">
      <c r="A53" s="17"/>
      <c r="D53" s="81"/>
      <c r="E53" s="80" t="s">
        <v>137</v>
      </c>
      <c r="F53" s="80"/>
      <c r="G53" s="325" t="s">
        <v>99</v>
      </c>
      <c r="H53" s="649">
        <f>I52+I53</f>
        <v>0</v>
      </c>
      <c r="I53" s="651">
        <f>'2-2 算定シート（燃焼式）'!L75</f>
        <v>0</v>
      </c>
      <c r="J53" s="646" t="s">
        <v>823</v>
      </c>
      <c r="K53" s="269"/>
      <c r="L53" s="1336" t="s">
        <v>357</v>
      </c>
      <c r="M53" s="1335"/>
      <c r="N53" s="1335"/>
      <c r="O53" s="863" t="s">
        <v>251</v>
      </c>
      <c r="P53" s="1012"/>
      <c r="Q53" s="873">
        <f>IFERROR(Q21*(J37/J20),0)</f>
        <v>0</v>
      </c>
      <c r="R53" s="1038"/>
      <c r="S53" s="428">
        <f>IFERROR(S21*(S14/S46),0)</f>
        <v>0</v>
      </c>
      <c r="T53" s="890">
        <f>IFERROR(T21*(T42+T43+T44)/(T11+T12+T13),0)</f>
        <v>0</v>
      </c>
      <c r="U53" s="884"/>
      <c r="V53" s="869"/>
      <c r="W53" s="435"/>
      <c r="X53" s="908">
        <f>IFERROR(T21*X44/(T11+T12+T13),0)</f>
        <v>0</v>
      </c>
      <c r="Y53" s="909">
        <f>IFERROR(T21*(Y42+Y43+Y44)/(T11+T12+T13),0)</f>
        <v>0</v>
      </c>
      <c r="Z53" s="884"/>
      <c r="AA53" s="909">
        <f>IFERROR(J5*(AA42+AA43+AA44)/(T11+T12+T13)/(AA36/T5),0)</f>
        <v>0</v>
      </c>
    </row>
    <row r="54" spans="1:27" ht="21" customHeight="1" thickBot="1">
      <c r="A54" s="17"/>
      <c r="D54" s="139"/>
      <c r="E54" s="82" t="s">
        <v>133</v>
      </c>
      <c r="F54" s="82"/>
      <c r="G54" s="261" t="s">
        <v>99</v>
      </c>
      <c r="H54" s="647">
        <f>'2-2 算定シート（燃焼式）'!L50</f>
        <v>0</v>
      </c>
      <c r="I54" s="1"/>
      <c r="J54"/>
      <c r="K54"/>
      <c r="L54" s="1335" t="s">
        <v>358</v>
      </c>
      <c r="M54" s="1335"/>
      <c r="N54" s="1335"/>
      <c r="O54" s="863" t="s">
        <v>251</v>
      </c>
      <c r="P54" s="1012"/>
      <c r="Q54" s="873">
        <f>IFERROR(Q22*(J38/J21),0)</f>
        <v>0</v>
      </c>
      <c r="R54" s="1038"/>
      <c r="S54" s="428">
        <f>IFERROR(S22*(S14/S46),0)</f>
        <v>0</v>
      </c>
      <c r="T54" s="891">
        <f>IFERROR(T22*(T44/T13),0)</f>
        <v>0</v>
      </c>
      <c r="U54" s="892" t="str">
        <f>J6</f>
        <v>0</v>
      </c>
      <c r="V54" s="869"/>
      <c r="W54" s="435"/>
      <c r="X54" s="908">
        <f>IFERROR(T22*X44/(T11+T12+T13),0)</f>
        <v>0</v>
      </c>
      <c r="Y54" s="909">
        <f>IFERROR(T22*(J57+J59)/J31,0)</f>
        <v>0</v>
      </c>
      <c r="Z54" s="884"/>
      <c r="AA54" s="884"/>
    </row>
    <row r="55" spans="1:27" ht="21" customHeight="1" thickBot="1">
      <c r="A55" s="17"/>
      <c r="D55" s="141" t="s">
        <v>922</v>
      </c>
      <c r="E55" s="82" t="s">
        <v>134</v>
      </c>
      <c r="F55" s="82"/>
      <c r="G55" s="261" t="s">
        <v>99</v>
      </c>
      <c r="H55" s="180">
        <f>'2-2 算定シート（燃焼式）'!L51</f>
        <v>0</v>
      </c>
      <c r="I55" s="1"/>
      <c r="J55" s="384" t="str">
        <f>IF(H54&lt;&gt;0,H54,IF(H57&lt;&gt;0,H57,"0"))</f>
        <v>0</v>
      </c>
      <c r="K55" s="1049" t="s">
        <v>951</v>
      </c>
      <c r="L55" s="862"/>
      <c r="M55" s="862"/>
      <c r="N55" s="862"/>
      <c r="O55" s="863"/>
      <c r="P55" s="1012"/>
      <c r="Q55" s="874"/>
      <c r="R55" s="1039"/>
      <c r="S55" s="426"/>
      <c r="T55" s="893"/>
      <c r="U55" s="884"/>
      <c r="V55" s="869"/>
      <c r="W55" s="435"/>
      <c r="X55" s="904"/>
      <c r="Y55" s="884"/>
      <c r="Z55" s="884"/>
      <c r="AA55" s="884"/>
    </row>
    <row r="56" spans="1:27" ht="21" customHeight="1" thickBot="1">
      <c r="A56" s="17"/>
      <c r="D56" s="140"/>
      <c r="E56" s="80" t="s">
        <v>137</v>
      </c>
      <c r="F56" s="80"/>
      <c r="G56" s="325" t="s">
        <v>99</v>
      </c>
      <c r="H56" s="180">
        <f>'2-2 算定シート（燃焼式）'!L52</f>
        <v>0</v>
      </c>
      <c r="I56" s="1"/>
      <c r="J56" s="384" t="str">
        <f>IF(H55&lt;&gt;0,H55,IF(H58&lt;&gt;0,H58,"0"))</f>
        <v>0</v>
      </c>
      <c r="K56" s="1049" t="s">
        <v>952</v>
      </c>
      <c r="L56" s="1340" t="s">
        <v>387</v>
      </c>
      <c r="M56" s="1340"/>
      <c r="N56" s="1340"/>
      <c r="O56" s="875" t="s">
        <v>360</v>
      </c>
      <c r="P56" s="1013"/>
      <c r="Q56" s="876" t="e">
        <f>Q51*E83</f>
        <v>#N/A</v>
      </c>
      <c r="R56" s="1040"/>
      <c r="S56" s="429" t="e">
        <f>S51*I83</f>
        <v>#N/A</v>
      </c>
      <c r="T56" s="894">
        <f>T51*E104</f>
        <v>0</v>
      </c>
      <c r="U56" s="895" t="e">
        <f>U51*I83</f>
        <v>#N/A</v>
      </c>
      <c r="V56" s="896" t="e">
        <f>V52*E109</f>
        <v>#N/A</v>
      </c>
      <c r="W56" s="429" t="e">
        <f>W52*1000*I83</f>
        <v>#N/A</v>
      </c>
      <c r="X56" s="897" t="e">
        <f>X52*E109</f>
        <v>#N/A</v>
      </c>
      <c r="Y56" s="910" t="e">
        <f>Y52*E109</f>
        <v>#N/A</v>
      </c>
      <c r="Z56" s="910" t="e">
        <f>(Z48+Z50)*E109</f>
        <v>#N/A</v>
      </c>
      <c r="AA56" s="910" t="e">
        <f>AA52*E109</f>
        <v>#N/A</v>
      </c>
    </row>
    <row r="57" spans="1:27" ht="21" customHeight="1" thickBot="1">
      <c r="A57" s="17"/>
      <c r="D57" s="1332" t="s">
        <v>175</v>
      </c>
      <c r="E57" s="82" t="s">
        <v>133</v>
      </c>
      <c r="F57" s="82"/>
      <c r="G57" s="261" t="s">
        <v>99</v>
      </c>
      <c r="H57" s="185">
        <f>'2-2 算定シート（燃焼式）'!L68</f>
        <v>0</v>
      </c>
      <c r="I57" s="1" t="s">
        <v>443</v>
      </c>
      <c r="J57" s="386" t="str">
        <f>IF(H56&lt;&gt;0,H56,IF(H59&lt;&gt;0,H59,IF(H53&lt;&gt;0,H53,"0")))</f>
        <v>0</v>
      </c>
      <c r="K57" s="1049" t="s">
        <v>137</v>
      </c>
      <c r="L57" s="1340" t="s">
        <v>388</v>
      </c>
      <c r="M57" s="1340"/>
      <c r="N57" s="1340"/>
      <c r="O57" s="875" t="s">
        <v>360</v>
      </c>
      <c r="P57" s="1013"/>
      <c r="Q57" s="877">
        <f>(Q53+Q54)*E109</f>
        <v>0</v>
      </c>
      <c r="R57" s="1041"/>
      <c r="S57" s="429">
        <f>(S53+S54)*E109</f>
        <v>0</v>
      </c>
      <c r="T57" s="897">
        <f>(T53+T54)*E109</f>
        <v>0</v>
      </c>
      <c r="U57" s="898">
        <f>(U53+U54)*E109</f>
        <v>0</v>
      </c>
      <c r="V57" s="899"/>
      <c r="W57" s="635"/>
      <c r="X57" s="911">
        <f>(X53+X54)*E109</f>
        <v>0</v>
      </c>
      <c r="Y57" s="898">
        <f>(Y53+Y54)*E109</f>
        <v>0</v>
      </c>
      <c r="Z57" s="912"/>
      <c r="AA57" s="910">
        <f>IFERROR((AA53+AA54)*E109,0)</f>
        <v>0</v>
      </c>
    </row>
    <row r="58" spans="1:27" ht="21" customHeight="1" thickBot="1">
      <c r="A58" s="17"/>
      <c r="D58" s="1333"/>
      <c r="E58" s="82" t="s">
        <v>134</v>
      </c>
      <c r="F58" s="82"/>
      <c r="G58" s="261" t="s">
        <v>99</v>
      </c>
      <c r="H58" s="185">
        <f>'2-2 算定シート（燃焼式）'!L69</f>
        <v>0</v>
      </c>
      <c r="I58" s="1"/>
      <c r="K58"/>
      <c r="L58" s="1340" t="s">
        <v>362</v>
      </c>
      <c r="M58" s="1340"/>
      <c r="N58" s="1340"/>
      <c r="O58" s="875" t="s">
        <v>360</v>
      </c>
      <c r="P58" s="1013"/>
      <c r="Q58" s="876" t="e">
        <f>Q56+Q57</f>
        <v>#N/A</v>
      </c>
      <c r="R58" s="1040"/>
      <c r="S58" s="429" t="e">
        <f>S56+S57</f>
        <v>#N/A</v>
      </c>
      <c r="T58" s="894">
        <f t="shared" ref="T58:X58" si="5">T56+T57</f>
        <v>0</v>
      </c>
      <c r="U58" s="895" t="e">
        <f t="shared" si="5"/>
        <v>#N/A</v>
      </c>
      <c r="V58" s="896" t="e">
        <f>V56+V57</f>
        <v>#N/A</v>
      </c>
      <c r="W58" s="429" t="e">
        <f>W56+W57</f>
        <v>#N/A</v>
      </c>
      <c r="X58" s="897" t="e">
        <f t="shared" si="5"/>
        <v>#N/A</v>
      </c>
      <c r="Y58" s="910" t="e">
        <f>Y56+Y57</f>
        <v>#N/A</v>
      </c>
      <c r="Z58" s="896" t="e">
        <f>Z56+Z57</f>
        <v>#N/A</v>
      </c>
      <c r="AA58" s="913" t="e">
        <f>AA56+AA57</f>
        <v>#N/A</v>
      </c>
    </row>
    <row r="59" spans="1:27" ht="21" customHeight="1" thickBot="1">
      <c r="A59" s="17"/>
      <c r="D59" s="1333"/>
      <c r="E59" s="82" t="s">
        <v>137</v>
      </c>
      <c r="F59" s="82"/>
      <c r="G59" s="261" t="s">
        <v>99</v>
      </c>
      <c r="H59" s="185">
        <f>'2-2 算定シート（燃焼式）'!L70</f>
        <v>0</v>
      </c>
      <c r="I59" s="1"/>
      <c r="J59" s="173">
        <f>H60</f>
        <v>0</v>
      </c>
      <c r="K59"/>
      <c r="L59" s="1335" t="s">
        <v>389</v>
      </c>
      <c r="M59" s="1335"/>
      <c r="N59" s="862" t="s">
        <v>240</v>
      </c>
      <c r="O59" s="863" t="s">
        <v>364</v>
      </c>
      <c r="P59" s="1012"/>
      <c r="Q59" s="871" t="e">
        <f>Q52*C95</f>
        <v>#N/A</v>
      </c>
      <c r="R59" s="1037"/>
      <c r="S59" s="429" t="e">
        <f>S52*C95</f>
        <v>#N/A</v>
      </c>
      <c r="T59" s="900" t="e">
        <f>T52*'計算シート (燃焼式)'!C97</f>
        <v>#N/A</v>
      </c>
      <c r="U59" s="835" t="e">
        <f>U52*C97</f>
        <v>#N/A</v>
      </c>
      <c r="V59" s="869"/>
      <c r="W59" s="744" t="e">
        <f>W52*C97</f>
        <v>#N/A</v>
      </c>
      <c r="X59" s="900" t="e">
        <f>X52*C97</f>
        <v>#N/A</v>
      </c>
      <c r="Y59" s="835" t="e">
        <f>Y52*C97</f>
        <v>#N/A</v>
      </c>
      <c r="Z59" s="835" t="e">
        <f>Z52*C97</f>
        <v>#N/A</v>
      </c>
      <c r="AA59" s="835" t="e">
        <f>AA52*C97</f>
        <v>#N/A</v>
      </c>
    </row>
    <row r="60" spans="1:27" ht="21" customHeight="1" thickBot="1">
      <c r="A60" s="17"/>
      <c r="D60" s="1334"/>
      <c r="E60" s="362" t="s">
        <v>466</v>
      </c>
      <c r="F60" s="80"/>
      <c r="G60" s="325" t="s">
        <v>99</v>
      </c>
      <c r="H60" s="185">
        <f>'2-2 算定シート（燃焼式）'!L71</f>
        <v>0</v>
      </c>
      <c r="I60" s="1"/>
      <c r="J60" s="150" t="s">
        <v>851</v>
      </c>
      <c r="L60" s="1335" t="s">
        <v>389</v>
      </c>
      <c r="M60" s="1335"/>
      <c r="N60" s="862" t="s">
        <v>247</v>
      </c>
      <c r="O60" s="863" t="s">
        <v>364</v>
      </c>
      <c r="P60" s="1012"/>
      <c r="Q60" s="871">
        <f>(Q53+Q54)*C96/1000</f>
        <v>0</v>
      </c>
      <c r="R60" s="1037"/>
      <c r="S60" s="665">
        <f>(S53+S54)*C96/1000</f>
        <v>0</v>
      </c>
      <c r="T60" s="900">
        <f>(T53+T54)*C96</f>
        <v>0</v>
      </c>
      <c r="U60" s="832">
        <f>(U53+U54)*C96</f>
        <v>0</v>
      </c>
      <c r="V60" s="869"/>
      <c r="W60" s="745"/>
      <c r="X60" s="900">
        <f>(X53+X54)*C96</f>
        <v>0</v>
      </c>
      <c r="Y60" s="835">
        <f>(Y53+Y54)*C96</f>
        <v>0</v>
      </c>
      <c r="Z60" s="832"/>
      <c r="AA60" s="835">
        <f>IFERROR((AA53+AA54)*C96,0)</f>
        <v>0</v>
      </c>
    </row>
    <row r="61" spans="1:27" ht="21" customHeight="1" thickBot="1">
      <c r="D61" s="86"/>
      <c r="E61" s="2"/>
      <c r="F61" s="2"/>
      <c r="L61" s="1335" t="s">
        <v>389</v>
      </c>
      <c r="M61" s="1335"/>
      <c r="N61" s="862" t="s">
        <v>365</v>
      </c>
      <c r="O61" s="863" t="s">
        <v>364</v>
      </c>
      <c r="P61" s="1012"/>
      <c r="Q61" s="871" t="e">
        <f>Q59+Q60</f>
        <v>#N/A</v>
      </c>
      <c r="R61" s="1042"/>
      <c r="S61" s="666" t="e">
        <f>S59+S60</f>
        <v>#N/A</v>
      </c>
      <c r="T61" s="900" t="e">
        <f>T59+T60</f>
        <v>#N/A</v>
      </c>
      <c r="U61" s="835" t="e">
        <f>U59+U60</f>
        <v>#N/A</v>
      </c>
      <c r="V61" s="871" t="e">
        <f>V52*C97</f>
        <v>#N/A</v>
      </c>
      <c r="W61" s="746" t="e">
        <f>W59+W60</f>
        <v>#N/A</v>
      </c>
      <c r="X61" s="900" t="e">
        <f>X59+X60</f>
        <v>#N/A</v>
      </c>
      <c r="Y61" s="835" t="e">
        <f>Y59+Y60</f>
        <v>#N/A</v>
      </c>
      <c r="Z61" s="835" t="e">
        <f>Z59+Z60</f>
        <v>#N/A</v>
      </c>
      <c r="AA61" s="835" t="e">
        <f>AA59+AA60</f>
        <v>#N/A</v>
      </c>
    </row>
    <row r="62" spans="1:27" ht="21" customHeight="1" thickTop="1">
      <c r="D62" s="538" t="s">
        <v>101</v>
      </c>
      <c r="E62" s="2"/>
      <c r="G62"/>
      <c r="H62" s="538" t="s">
        <v>102</v>
      </c>
      <c r="I62" s="1"/>
    </row>
    <row r="63" spans="1:27" ht="21" customHeight="1">
      <c r="A63" s="347" t="s">
        <v>94</v>
      </c>
      <c r="B63" s="12"/>
      <c r="C63" s="252" t="s">
        <v>178</v>
      </c>
      <c r="D63" s="1059" t="str">
        <f>IF(H15,"0",E63)</f>
        <v>0</v>
      </c>
      <c r="E63" s="401" t="str">
        <f>J16</f>
        <v>0</v>
      </c>
      <c r="F63" s="551" t="s">
        <v>765</v>
      </c>
      <c r="G63" s="253" t="s">
        <v>445</v>
      </c>
      <c r="H63" s="544" t="str">
        <f>J33</f>
        <v>0</v>
      </c>
      <c r="K63"/>
      <c r="Q63"/>
      <c r="R63"/>
      <c r="S63"/>
      <c r="T63"/>
      <c r="U63"/>
      <c r="V63"/>
      <c r="W63"/>
      <c r="X63"/>
      <c r="Y63"/>
    </row>
    <row r="64" spans="1:27" ht="21" customHeight="1">
      <c r="A64" s="347" t="s">
        <v>95</v>
      </c>
      <c r="B64" s="12"/>
      <c r="C64" s="252" t="s">
        <v>119</v>
      </c>
      <c r="D64" s="542" t="str">
        <f>IF(H15,"0",E64)</f>
        <v>0</v>
      </c>
      <c r="E64" s="537" t="str">
        <f>J17</f>
        <v>0</v>
      </c>
      <c r="F64" s="551" t="s">
        <v>765</v>
      </c>
      <c r="G64" s="253" t="s">
        <v>446</v>
      </c>
      <c r="H64" s="544" t="str">
        <f>J34</f>
        <v>0</v>
      </c>
      <c r="K64"/>
      <c r="L64"/>
      <c r="M64"/>
      <c r="N64"/>
      <c r="O64"/>
      <c r="P64"/>
      <c r="Q64"/>
      <c r="R64"/>
      <c r="S64"/>
      <c r="T64"/>
      <c r="U64"/>
      <c r="V64"/>
      <c r="W64"/>
      <c r="X64"/>
      <c r="Y64"/>
    </row>
    <row r="65" spans="1:25" ht="21" customHeight="1">
      <c r="A65" s="348" t="s">
        <v>437</v>
      </c>
      <c r="B65" s="296"/>
      <c r="C65" s="252" t="s">
        <v>424</v>
      </c>
      <c r="D65" s="543">
        <f>IFERROR(VLOOKUP(B1,E95:K97,2,FALSE),0)</f>
        <v>0</v>
      </c>
      <c r="E65"/>
      <c r="F65" s="551" t="s">
        <v>765</v>
      </c>
      <c r="G65" s="253" t="s">
        <v>447</v>
      </c>
      <c r="H65" s="545">
        <f>IFERROR(VLOOKUP(B32,L91:V97,2,FALSE),0)</f>
        <v>0</v>
      </c>
      <c r="I65"/>
      <c r="J65" s="265"/>
      <c r="L65"/>
      <c r="M65"/>
      <c r="N65"/>
      <c r="O65"/>
      <c r="P65"/>
      <c r="Q65"/>
      <c r="R65"/>
      <c r="S65"/>
      <c r="T65"/>
      <c r="U65"/>
      <c r="V65"/>
      <c r="W65"/>
      <c r="X65"/>
      <c r="Y65"/>
    </row>
    <row r="66" spans="1:25" ht="21" customHeight="1">
      <c r="A66" s="348" t="s">
        <v>278</v>
      </c>
      <c r="B66" s="296"/>
      <c r="C66" s="252" t="s">
        <v>425</v>
      </c>
      <c r="D66" s="543">
        <f>IFERROR(VLOOKUP(B1,E95:K97,3,FALSE),0)</f>
        <v>0</v>
      </c>
      <c r="E66"/>
      <c r="F66" s="551" t="s">
        <v>765</v>
      </c>
      <c r="G66" s="253" t="s">
        <v>448</v>
      </c>
      <c r="H66" s="545">
        <f>IFERROR(VLOOKUP(B32,L91:V97,3,FALSE),0)</f>
        <v>0</v>
      </c>
      <c r="J66" s="747" t="s">
        <v>884</v>
      </c>
      <c r="K66"/>
      <c r="L66"/>
      <c r="M66"/>
      <c r="N66"/>
      <c r="O66"/>
      <c r="P66"/>
      <c r="Q66"/>
      <c r="R66"/>
      <c r="S66"/>
      <c r="T66"/>
      <c r="U66"/>
      <c r="V66"/>
      <c r="W66"/>
      <c r="X66"/>
      <c r="Y66"/>
    </row>
    <row r="67" spans="1:25" ht="21" customHeight="1">
      <c r="A67" s="347" t="s">
        <v>96</v>
      </c>
      <c r="B67" s="12"/>
      <c r="C67" s="253" t="s">
        <v>426</v>
      </c>
      <c r="D67" s="138">
        <f>IFERROR(D63/D65,0)</f>
        <v>0</v>
      </c>
      <c r="F67" s="683" t="s">
        <v>853</v>
      </c>
      <c r="G67" s="253" t="s">
        <v>451</v>
      </c>
      <c r="H67" s="748">
        <f>IF(B1="温水ボイラー","-",K67)</f>
        <v>0</v>
      </c>
      <c r="I67" s="343">
        <f>IFERROR(H63/H65,0)</f>
        <v>0</v>
      </c>
      <c r="J67" s="266">
        <f>IFERROR(H63/H65/M116,0)</f>
        <v>0</v>
      </c>
      <c r="K67" s="531" cm="1">
        <f t="array" ref="K67">_xlfn.IFS(AND(B32="水冷HPチラー",B33="電気"),L67,AND(B33="電気"),J67,TRUE,I67)</f>
        <v>0</v>
      </c>
      <c r="L67" s="535" t="e">
        <f>H63/H65*M119/M116</f>
        <v>#DIV/0!</v>
      </c>
      <c r="M67" s="240" t="s">
        <v>756</v>
      </c>
      <c r="N67"/>
      <c r="O67"/>
      <c r="P67"/>
      <c r="Q67"/>
      <c r="R67"/>
      <c r="S67"/>
      <c r="T67"/>
      <c r="U67"/>
      <c r="V67"/>
      <c r="W67"/>
      <c r="X67"/>
      <c r="Y67"/>
    </row>
    <row r="68" spans="1:25" ht="21" customHeight="1">
      <c r="A68" s="347" t="s">
        <v>116</v>
      </c>
      <c r="B68" s="12"/>
      <c r="C68" s="253" t="s">
        <v>427</v>
      </c>
      <c r="D68" s="138">
        <f>IFERROR(D64/D66,0)</f>
        <v>0</v>
      </c>
      <c r="F68" s="683" t="s">
        <v>853</v>
      </c>
      <c r="G68" s="191" t="s">
        <v>452</v>
      </c>
      <c r="H68" s="272">
        <f>K68</f>
        <v>0</v>
      </c>
      <c r="I68" s="343">
        <f>IFERROR(H64/H66,0)</f>
        <v>0</v>
      </c>
      <c r="J68" s="266">
        <f>IFERROR(H64/H66/M116,0)</f>
        <v>0</v>
      </c>
      <c r="K68" s="273">
        <f>IF(B33="電気",J68,I68)</f>
        <v>0</v>
      </c>
      <c r="L68"/>
      <c r="M68"/>
      <c r="N68"/>
      <c r="O68"/>
      <c r="P68"/>
      <c r="Q68"/>
      <c r="R68"/>
      <c r="S68"/>
      <c r="T68"/>
      <c r="U68"/>
      <c r="V68"/>
      <c r="W68"/>
      <c r="X68"/>
      <c r="Y68"/>
    </row>
    <row r="69" spans="1:25" ht="21" customHeight="1">
      <c r="A69" s="1360" t="s">
        <v>288</v>
      </c>
      <c r="B69" s="1361"/>
      <c r="C69" s="1361"/>
      <c r="D69" s="250">
        <f>J29</f>
        <v>0</v>
      </c>
      <c r="E69"/>
      <c r="F69" s="682" t="s">
        <v>272</v>
      </c>
      <c r="G69"/>
      <c r="H69" s="572" t="str">
        <f>J55</f>
        <v>0</v>
      </c>
      <c r="I69" s="270" t="s">
        <v>460</v>
      </c>
      <c r="J69" s="271" t="s">
        <v>461</v>
      </c>
      <c r="K69"/>
      <c r="V69" s="193"/>
    </row>
    <row r="70" spans="1:25" ht="21" customHeight="1">
      <c r="A70" s="1360" t="s">
        <v>428</v>
      </c>
      <c r="B70" s="1361"/>
      <c r="C70" s="1361"/>
      <c r="D70" s="250">
        <f t="shared" ref="D70:D71" si="6">J30</f>
        <v>0</v>
      </c>
      <c r="E70"/>
      <c r="F70" s="682" t="s">
        <v>272</v>
      </c>
      <c r="G70"/>
      <c r="H70" s="572" t="str">
        <f>J56</f>
        <v>0</v>
      </c>
      <c r="I70"/>
      <c r="J70"/>
      <c r="K70"/>
    </row>
    <row r="71" spans="1:25" ht="21" customHeight="1">
      <c r="A71" s="1360" t="s">
        <v>292</v>
      </c>
      <c r="B71" s="1361"/>
      <c r="C71" s="1361"/>
      <c r="D71" s="250">
        <f t="shared" si="6"/>
        <v>0</v>
      </c>
      <c r="E71"/>
      <c r="F71" s="682" t="s">
        <v>272</v>
      </c>
      <c r="G71"/>
      <c r="H71" s="572" t="str">
        <f>J57</f>
        <v>0</v>
      </c>
      <c r="I71"/>
      <c r="J71"/>
      <c r="K71"/>
    </row>
    <row r="72" spans="1:25" ht="21" customHeight="1">
      <c r="A72" s="382" t="s">
        <v>813</v>
      </c>
      <c r="B72" s="359"/>
      <c r="C72" s="359"/>
      <c r="D72" s="584">
        <f>D79</f>
        <v>0</v>
      </c>
      <c r="F72" s="9" t="s">
        <v>855</v>
      </c>
      <c r="G72"/>
      <c r="H72" s="688">
        <f>H79</f>
        <v>0</v>
      </c>
      <c r="K72"/>
    </row>
    <row r="73" spans="1:25" ht="21" customHeight="1" thickBot="1">
      <c r="A73" s="349" t="s">
        <v>421</v>
      </c>
      <c r="B73" s="12"/>
      <c r="C73" s="12"/>
      <c r="D73" s="346">
        <f>H15</f>
        <v>0</v>
      </c>
      <c r="E73"/>
      <c r="F73"/>
      <c r="G73"/>
      <c r="H73" s="690">
        <f>'2-2 算定シート（燃焼式）'!L53</f>
        <v>0</v>
      </c>
      <c r="I73"/>
      <c r="J73"/>
      <c r="K73"/>
      <c r="U73"/>
    </row>
    <row r="74" spans="1:25" ht="21" customHeight="1" thickBot="1">
      <c r="A74" s="350" t="s">
        <v>352</v>
      </c>
      <c r="B74" s="296"/>
      <c r="C74" s="211" t="s">
        <v>654</v>
      </c>
      <c r="D74" s="249">
        <f>IFERROR(VLOOKUP(B1,E95:K97,4,FALSE),0)</f>
        <v>0</v>
      </c>
      <c r="E74" s="571" t="e">
        <f>VLOOKUP(B2,A102:C109,3,FALSE)</f>
        <v>#N/A</v>
      </c>
      <c r="F74" s="682" t="s">
        <v>854</v>
      </c>
      <c r="G74" s="615" t="s">
        <v>305</v>
      </c>
      <c r="H74" s="691">
        <f>IFERROR(VLOOKUP(B32,L91:V97,4,FALSE),0)</f>
        <v>0</v>
      </c>
      <c r="I74" s="570" t="e">
        <f>VLOOKUP(B33,A102:C109,3,FALSE)</f>
        <v>#N/A</v>
      </c>
    </row>
    <row r="75" spans="1:25" ht="22.15" customHeight="1">
      <c r="A75" s="240"/>
      <c r="B75" s="12"/>
      <c r="C75" s="10" t="s">
        <v>430</v>
      </c>
      <c r="D75" s="627" t="str">
        <f>J3</f>
        <v>0</v>
      </c>
      <c r="E75" s="248" t="s">
        <v>467</v>
      </c>
      <c r="F75" s="9" t="s">
        <v>855</v>
      </c>
      <c r="G75" s="274" t="s">
        <v>453</v>
      </c>
      <c r="H75" s="689">
        <f>IF(J40&lt;&gt;0,IF(B32="GHP",S52/2,W52*1000/2),IFERROR(VLOOKUP(B32,L91:V97,8,FALSE),0))</f>
        <v>0</v>
      </c>
      <c r="I75" s="275" t="s">
        <v>469</v>
      </c>
    </row>
    <row r="76" spans="1:25" ht="22.15" customHeight="1">
      <c r="A76" s="351" t="s">
        <v>355</v>
      </c>
      <c r="B76" s="352"/>
      <c r="C76" s="10" t="s">
        <v>655</v>
      </c>
      <c r="D76" s="249">
        <f>IFERROR(VLOOKUP(B1,E95:K97,5,FALSE),0)</f>
        <v>0</v>
      </c>
      <c r="E76"/>
      <c r="F76" s="682" t="s">
        <v>854</v>
      </c>
      <c r="G76" s="616" t="s">
        <v>334</v>
      </c>
      <c r="H76" s="691">
        <f>IFERROR(VLOOKUP(B32,L91:V97,6,FALSE),0)</f>
        <v>0</v>
      </c>
      <c r="K76"/>
    </row>
    <row r="77" spans="1:25" ht="22.15" customHeight="1">
      <c r="A77" s="12"/>
      <c r="B77" s="12"/>
      <c r="C77" s="10" t="s">
        <v>431</v>
      </c>
      <c r="D77" s="627" t="str">
        <f>J4</f>
        <v>0</v>
      </c>
      <c r="E77" s="2"/>
      <c r="F77" s="9" t="s">
        <v>855</v>
      </c>
      <c r="G77" s="274" t="s">
        <v>454</v>
      </c>
      <c r="H77" s="689">
        <f>IF(J40&lt;&gt;0,IF(B32="GHP",S52/2,W52*1000/2),IFERROR(VLOOKUP(B32,L91:V97,9,FALSE),0))</f>
        <v>0</v>
      </c>
      <c r="J77"/>
      <c r="K77" t="s">
        <v>468</v>
      </c>
    </row>
    <row r="78" spans="1:25" ht="22.15" customHeight="1">
      <c r="A78" s="348" t="s">
        <v>356</v>
      </c>
      <c r="B78" s="296"/>
      <c r="C78" s="211" t="s">
        <v>649</v>
      </c>
      <c r="D78" s="547">
        <f>IF(H15,S20,E78)</f>
        <v>0</v>
      </c>
      <c r="E78" s="353">
        <f>D74+D76</f>
        <v>0</v>
      </c>
      <c r="F78" s="682" t="s">
        <v>854</v>
      </c>
      <c r="G78" s="137" t="s">
        <v>455</v>
      </c>
      <c r="H78" s="692" cm="1">
        <f t="array" ref="H78">IFERROR(_xlfn.IFS(AND(B32="EHP",H32&gt;0),W52,AND(B32="GHP",H32&gt;0),S52,TRUE,I78),0)</f>
        <v>0</v>
      </c>
      <c r="I78" s="277">
        <f>H74+H76</f>
        <v>0</v>
      </c>
    </row>
    <row r="79" spans="1:25" ht="19.5">
      <c r="A79" s="240"/>
      <c r="B79"/>
      <c r="C79" s="10" t="s">
        <v>650</v>
      </c>
      <c r="D79" s="580">
        <f>D75+D77</f>
        <v>0</v>
      </c>
      <c r="E79" s="2"/>
      <c r="F79" s="9" t="s">
        <v>855</v>
      </c>
      <c r="G79" s="137" t="s">
        <v>456</v>
      </c>
      <c r="H79" s="688">
        <f>H75+H77</f>
        <v>0</v>
      </c>
      <c r="K79"/>
    </row>
    <row r="80" spans="1:25" customFormat="1" ht="19.149999999999999" customHeight="1">
      <c r="A80" s="347" t="s">
        <v>140</v>
      </c>
      <c r="B80" s="12"/>
      <c r="C80" s="86" t="s">
        <v>435</v>
      </c>
      <c r="D80" s="627" t="str">
        <f>J5</f>
        <v>0</v>
      </c>
      <c r="E80" s="1"/>
      <c r="F80" s="551" t="s">
        <v>850</v>
      </c>
      <c r="G80" s="1"/>
      <c r="H80" s="528">
        <f>IF(AND(B32="GHP",J40&lt;&gt;0),S53,IFERROR(VLOOKUP(B32,L91:V97,10,FALSE),0))</f>
        <v>0</v>
      </c>
      <c r="I80" s="147" t="s">
        <v>463</v>
      </c>
      <c r="L80" s="1"/>
      <c r="M80" s="1"/>
      <c r="N80" s="1"/>
      <c r="O80" s="1"/>
      <c r="P80" s="1"/>
      <c r="Q80" s="1"/>
      <c r="R80" s="1"/>
      <c r="S80" s="1"/>
      <c r="T80" s="1"/>
      <c r="U80" s="1"/>
      <c r="V80" s="1"/>
      <c r="W80" s="1"/>
      <c r="X80" s="1"/>
    </row>
    <row r="81" spans="1:27" s="88" customFormat="1" ht="19.5">
      <c r="A81" s="347" t="s">
        <v>141</v>
      </c>
      <c r="B81" s="12"/>
      <c r="C81" s="86" t="s">
        <v>436</v>
      </c>
      <c r="D81" s="255" t="str">
        <f>J6</f>
        <v>0</v>
      </c>
      <c r="E81" s="1"/>
      <c r="F81" s="551" t="s">
        <v>850</v>
      </c>
      <c r="G81" s="1"/>
      <c r="H81" s="528">
        <f>IF(AND(B32="GHP",J40&lt;&gt;0),S54,IFERROR(VLOOKUP(B32,L91:V97,11,FALSE),0))</f>
        <v>0</v>
      </c>
      <c r="I81" s="147" t="s">
        <v>464</v>
      </c>
      <c r="J81"/>
      <c r="K81"/>
    </row>
    <row r="82" spans="1:27" s="88" customFormat="1" ht="20.25" thickBot="1">
      <c r="A82" s="83" t="s">
        <v>818</v>
      </c>
      <c r="B82" s="12"/>
      <c r="C82" s="86"/>
      <c r="D82" s="255">
        <f>D80+D81</f>
        <v>0</v>
      </c>
      <c r="E82" s="1"/>
      <c r="F82" s="551" t="s">
        <v>850</v>
      </c>
      <c r="G82" s="1"/>
      <c r="H82" s="528">
        <f>H80+H81</f>
        <v>0</v>
      </c>
      <c r="I82" s="147"/>
      <c r="J82"/>
      <c r="K82"/>
    </row>
    <row r="83" spans="1:27" s="88" customFormat="1" ht="20.25" thickBot="1">
      <c r="A83" s="12" t="s">
        <v>651</v>
      </c>
      <c r="B83" s="12" t="s">
        <v>811</v>
      </c>
      <c r="C83" s="396">
        <f>IFERROR(D78*E83,0)</f>
        <v>0</v>
      </c>
      <c r="D83" s="529">
        <f>IF(H15,S23,C83)</f>
        <v>0</v>
      </c>
      <c r="E83" s="573" t="e">
        <f>VLOOKUP(B2,A102:E109,5,FALSE)</f>
        <v>#N/A</v>
      </c>
      <c r="F83" s="248" t="s">
        <v>772</v>
      </c>
      <c r="G83" s="137" t="s">
        <v>457</v>
      </c>
      <c r="H83" s="547" cm="1">
        <f t="array" ref="H83">IFERROR(_xlfn.IFS(AND(B32="EHP",H32&gt;0),W56,AND(B32="GHP",H32&gt;0),S56,TRUE,N83),0)</f>
        <v>0</v>
      </c>
      <c r="I83" s="574" t="e">
        <f>VLOOKUP(B33,A102:E109,5,FALSE)</f>
        <v>#N/A</v>
      </c>
      <c r="J83" s="248" t="s">
        <v>462</v>
      </c>
      <c r="K83" s="10" t="s">
        <v>809</v>
      </c>
      <c r="L83" s="192" t="e">
        <f>I78*I83</f>
        <v>#N/A</v>
      </c>
      <c r="M83" s="192" t="e">
        <f>H79*I83</f>
        <v>#N/A</v>
      </c>
      <c r="N83" s="397" t="e">
        <f>IF(B33="電気",M83,L83)</f>
        <v>#N/A</v>
      </c>
      <c r="O83"/>
      <c r="P83"/>
      <c r="Q83" s="1"/>
      <c r="R83" s="1"/>
      <c r="S83" s="1"/>
      <c r="T83" s="1"/>
      <c r="U83" s="1"/>
      <c r="V83" s="1"/>
      <c r="W83" s="1"/>
      <c r="X83" s="1"/>
    </row>
    <row r="84" spans="1:27" s="88" customFormat="1" ht="19.5">
      <c r="A84" s="12" t="s">
        <v>651</v>
      </c>
      <c r="B84" s="12" t="s">
        <v>812</v>
      </c>
      <c r="C84" s="10"/>
      <c r="D84" s="630">
        <f>IF(H15,S24,E84)</f>
        <v>0</v>
      </c>
      <c r="E84" s="628">
        <f>(D80+D81)*$E$109</f>
        <v>0</v>
      </c>
      <c r="F84" s="1"/>
      <c r="G84" s="137" t="s">
        <v>458</v>
      </c>
      <c r="H84" s="529" cm="1">
        <f t="array" ref="H84">IFERROR(_xlfn.IFS(AND(B32="EHP",H32&gt;0),W57,AND(B32="GHP",H32&gt;0),S57,TRUE,I84),0)</f>
        <v>0</v>
      </c>
      <c r="I84" s="629">
        <f>(H80+H81)*E109</f>
        <v>0</v>
      </c>
      <c r="J84"/>
      <c r="K84"/>
      <c r="L84" s="270" t="s">
        <v>460</v>
      </c>
      <c r="M84" s="687" t="s">
        <v>860</v>
      </c>
      <c r="N84" s="1"/>
      <c r="O84" s="1"/>
      <c r="P84" s="1"/>
      <c r="Q84" s="1"/>
      <c r="R84" s="1"/>
      <c r="S84" s="1"/>
      <c r="T84" s="1"/>
      <c r="U84" s="1"/>
      <c r="V84" s="1"/>
      <c r="W84" s="1"/>
      <c r="X84" s="1"/>
    </row>
    <row r="85" spans="1:27" s="88" customFormat="1" ht="19.5">
      <c r="A85" s="347" t="s">
        <v>652</v>
      </c>
      <c r="B85" s="347" t="s">
        <v>422</v>
      </c>
      <c r="C85" s="1"/>
      <c r="D85" s="547">
        <f>IF(H15,S25,E85)</f>
        <v>0</v>
      </c>
      <c r="E85" s="620">
        <f>C83+E84</f>
        <v>0</v>
      </c>
      <c r="F85" s="10"/>
      <c r="G85" s="137" t="s">
        <v>459</v>
      </c>
      <c r="H85" s="617" cm="1">
        <f t="array" ref="H85">IFERROR(_xlfn.IFS(AND(B32="EHP",H32&gt;0),W58,AND(B32="GHP",H32&gt;0),S58,TRUE,I85),0)</f>
        <v>0</v>
      </c>
      <c r="I85" s="618">
        <f>H83+I84</f>
        <v>0</v>
      </c>
      <c r="K85"/>
      <c r="L85" s="1"/>
      <c r="M85" s="12">
        <f>I78*E110</f>
        <v>0</v>
      </c>
      <c r="N85" s="1"/>
      <c r="O85" s="1"/>
      <c r="P85" s="1"/>
      <c r="Q85" s="1"/>
      <c r="R85" s="1"/>
      <c r="S85" s="1"/>
      <c r="T85" s="1"/>
      <c r="U85" s="1"/>
      <c r="V85" s="1"/>
      <c r="W85" s="1"/>
      <c r="X85" s="1"/>
    </row>
    <row r="86" spans="1:27" s="88" customFormat="1" ht="19.5">
      <c r="A86" s="347" t="s">
        <v>653</v>
      </c>
      <c r="B86" s="12"/>
      <c r="C86" s="143"/>
      <c r="D86" s="530" t="s">
        <v>754</v>
      </c>
      <c r="E86" s="354" t="s">
        <v>434</v>
      </c>
      <c r="F86" s="10"/>
      <c r="G86"/>
      <c r="H86" s="188">
        <f>D85-H85</f>
        <v>0</v>
      </c>
      <c r="I86"/>
      <c r="J86"/>
      <c r="K86" s="1"/>
      <c r="L86" s="1" t="s">
        <v>755</v>
      </c>
      <c r="M86" s="687" t="s">
        <v>861</v>
      </c>
      <c r="N86" s="1"/>
      <c r="O86" s="9" t="s">
        <v>973</v>
      </c>
      <c r="P86" s="1"/>
      <c r="Q86" s="1"/>
      <c r="R86" s="1"/>
      <c r="S86" s="1"/>
      <c r="T86" s="1"/>
      <c r="U86" s="1"/>
      <c r="V86" s="1"/>
      <c r="W86" s="1"/>
      <c r="X86" s="1"/>
    </row>
    <row r="87" spans="1:27" ht="19.5">
      <c r="A87" s="12" t="s">
        <v>409</v>
      </c>
      <c r="B87" s="12"/>
      <c r="D87" s="358">
        <f>IF(H15,S26,E87)</f>
        <v>0</v>
      </c>
      <c r="E87" s="357">
        <f>$D$79*$C$95</f>
        <v>0</v>
      </c>
      <c r="F87" s="76" t="s">
        <v>656</v>
      </c>
      <c r="G87"/>
      <c r="H87" s="701" cm="1">
        <f t="array" ref="H87">IFERROR(_xlfn.IFS(AND(B32="EHP",H32&gt;0),W59,AND(B32="GHP",H32&gt;0),S59,TRUE,I87),0)</f>
        <v>0</v>
      </c>
      <c r="I87" s="700">
        <f>IF(B33="電気",H79*C97/1000,H79*C97)</f>
        <v>0</v>
      </c>
      <c r="O87" s="9" t="s">
        <v>933</v>
      </c>
    </row>
    <row r="88" spans="1:27" ht="20.25" thickBot="1">
      <c r="A88" s="12" t="s">
        <v>423</v>
      </c>
      <c r="B88" s="320"/>
      <c r="D88" s="702">
        <f>IF(H15,S27,E88)</f>
        <v>0</v>
      </c>
      <c r="E88" s="619">
        <f>($D$80+$D$81)*$C$96/1000</f>
        <v>0</v>
      </c>
      <c r="F88" s="355" t="s">
        <v>657</v>
      </c>
      <c r="G88"/>
      <c r="H88" s="702" cm="1">
        <f t="array" ref="H88">IFERROR(_xlfn.IFS(AND(B32="EHP",H32&gt;0),W60,AND(B32="GHP",H32&gt;0),S60,TRUE,I88),0)</f>
        <v>0</v>
      </c>
      <c r="I88" s="356">
        <f>(H80+H81)*C96/1000</f>
        <v>0</v>
      </c>
      <c r="O88" s="9" t="s">
        <v>927</v>
      </c>
      <c r="U88" s="9" t="s">
        <v>932</v>
      </c>
    </row>
    <row r="89" spans="1:27" ht="20.25" thickBot="1">
      <c r="A89" s="1358" t="s">
        <v>411</v>
      </c>
      <c r="B89" s="1358"/>
      <c r="C89"/>
      <c r="D89" s="704">
        <f>D87+D88</f>
        <v>0</v>
      </c>
      <c r="E89"/>
      <c r="F89" s="189"/>
      <c r="G89"/>
      <c r="H89" s="703">
        <f>H87+H88</f>
        <v>0</v>
      </c>
      <c r="J89"/>
      <c r="M89" s="548" t="s">
        <v>765</v>
      </c>
      <c r="N89" s="548" t="s">
        <v>765</v>
      </c>
      <c r="O89" s="719" t="s">
        <v>766</v>
      </c>
      <c r="P89" s="1044" t="s">
        <v>928</v>
      </c>
      <c r="Q89" s="1014" t="s">
        <v>766</v>
      </c>
      <c r="R89" s="1045" t="s">
        <v>929</v>
      </c>
      <c r="S89" s="685" t="s">
        <v>798</v>
      </c>
      <c r="T89" s="685" t="s">
        <v>798</v>
      </c>
      <c r="U89" s="347" t="s">
        <v>767</v>
      </c>
      <c r="V89" s="347" t="s">
        <v>767</v>
      </c>
      <c r="W89" s="740" t="s">
        <v>874</v>
      </c>
      <c r="X89"/>
      <c r="AA89" s="1" t="s">
        <v>930</v>
      </c>
    </row>
    <row r="90" spans="1:27" ht="20.25" thickBot="1">
      <c r="A90" s="347" t="s">
        <v>915</v>
      </c>
      <c r="D90" s="798">
        <f>D74+D76+(D80+D81)/1000*2.4</f>
        <v>0</v>
      </c>
      <c r="H90" s="798">
        <f>H74+H76+(H80+H81)/1000*2.4</f>
        <v>0</v>
      </c>
      <c r="L90" s="87" t="s">
        <v>450</v>
      </c>
      <c r="M90" s="263" t="s">
        <v>447</v>
      </c>
      <c r="N90" s="263" t="s">
        <v>448</v>
      </c>
      <c r="O90" s="720" t="s">
        <v>305</v>
      </c>
      <c r="P90" s="263"/>
      <c r="Q90" s="263" t="s">
        <v>334</v>
      </c>
      <c r="R90" s="1043"/>
      <c r="S90" s="264" t="s">
        <v>453</v>
      </c>
      <c r="T90" s="264" t="s">
        <v>454</v>
      </c>
      <c r="U90" s="1" t="s">
        <v>463</v>
      </c>
      <c r="V90" s="1" t="s">
        <v>464</v>
      </c>
      <c r="W90" s="805" t="s">
        <v>873</v>
      </c>
      <c r="Z90" s="1046" t="s">
        <v>931</v>
      </c>
      <c r="AA90" s="1052" t="s">
        <v>971</v>
      </c>
    </row>
    <row r="91" spans="1:27" ht="19.5">
      <c r="A91" s="88"/>
      <c r="B91" s="88"/>
      <c r="C91" s="88"/>
      <c r="L91" s="278" t="s">
        <v>218</v>
      </c>
      <c r="M91" s="532" t="str">
        <f>J35</f>
        <v>0</v>
      </c>
      <c r="N91" s="706" t="str">
        <f>J36</f>
        <v>0</v>
      </c>
      <c r="O91" s="721">
        <f>IF(Z91&gt;1,P91*Z91,P91)</f>
        <v>0</v>
      </c>
      <c r="P91" s="1015">
        <f>IFERROR(D74*(D67/H67)*(H63/E63)*(E63/H63),0)</f>
        <v>0</v>
      </c>
      <c r="Q91" s="706">
        <f>IF(Z91&gt;1,R91*Z91,R91)</f>
        <v>0</v>
      </c>
      <c r="R91" s="722">
        <f>IFERROR(D76*(D68/H68)*(H64/E64)*(E64/H64),0)</f>
        <v>0</v>
      </c>
      <c r="S91" s="713" t="e">
        <f>O91/I74/M120</f>
        <v>#N/A</v>
      </c>
      <c r="T91" s="578" t="e">
        <f>Q91/I74/M120</f>
        <v>#N/A</v>
      </c>
      <c r="U91" s="670">
        <f>IFERROR(D80*(J37/J20)*(H63/E63)*(E63/H63),0)</f>
        <v>0</v>
      </c>
      <c r="V91" s="735">
        <f>IFERROR(D81*(J38/J21)*(H64/E64)*(E64/H64),0)</f>
        <v>0</v>
      </c>
      <c r="W91" s="806" t="e">
        <f>(E63/H63)</f>
        <v>#DIV/0!</v>
      </c>
      <c r="X91" s="808" t="e">
        <f>E64/H64</f>
        <v>#DIV/0!</v>
      </c>
      <c r="Z91" s="986">
        <f t="shared" ref="Z91:Z99" si="7">IFERROR($AA91,1)</f>
        <v>1</v>
      </c>
      <c r="AA91" s="986" t="e">
        <f t="shared" ref="AA91:AA99" si="8">$H$63/$D$63</f>
        <v>#DIV/0!</v>
      </c>
    </row>
    <row r="92" spans="1:27" ht="19.5">
      <c r="A92" s="88"/>
      <c r="B92" s="88"/>
      <c r="C92" s="88"/>
      <c r="D92" s="409" t="s">
        <v>797</v>
      </c>
      <c r="E92" s="127"/>
      <c r="F92" s="127"/>
      <c r="G92" s="127"/>
      <c r="H92" s="127"/>
      <c r="L92" s="279" t="s">
        <v>429</v>
      </c>
      <c r="M92" s="534" t="str">
        <f>IF(B33="A重油",M98,IF(B33="灯油",M98,IF(B33="LPG",M98,M99)))</f>
        <v>0</v>
      </c>
      <c r="N92" s="707" t="str">
        <f>IF(B33="A重油",N98,IF(B33="灯油",N98,IF(B33="LPG",N98,N99)))</f>
        <v>0</v>
      </c>
      <c r="O92" s="723">
        <f>IF(Z92&gt;1,P92*Z92,P92)</f>
        <v>0</v>
      </c>
      <c r="P92" s="1016">
        <f>IF(B33="A重油",P98,IF(B33="灯油",P98,IF(B33="LPG",P98,P99)))</f>
        <v>0</v>
      </c>
      <c r="Q92" s="707">
        <f t="shared" ref="Q92:Q99" si="9">IF(Z92&gt;1,R92*Z92,R92)</f>
        <v>0</v>
      </c>
      <c r="R92" s="724">
        <f>IF(B33="A重油",R98,IF(B33="灯油",R98,IF(B33="LPG",R98,R99)))</f>
        <v>0</v>
      </c>
      <c r="S92" s="715" t="e">
        <f>IF(B33="A重油",S98,IF(B33="灯油",S98,IF(B33="LPG",S98,S99)))</f>
        <v>#N/A</v>
      </c>
      <c r="T92" s="672" t="e">
        <f>IF(B33="A重油",T98,IF(B33="灯油",T98,IF(B33="LPG",T98,T99)))</f>
        <v>#N/A</v>
      </c>
      <c r="U92" s="586">
        <f>IF(B33="A重油",U98,IF(B33="灯油",U98,IF(B33="LPG",U98,U99)))</f>
        <v>0</v>
      </c>
      <c r="V92" s="1054">
        <f>IFERROR(D81*(J39/J22)*(H65/E65)*(E65/H65),0)</f>
        <v>0</v>
      </c>
      <c r="W92" s="806" t="e">
        <f>(E63/H63)</f>
        <v>#DIV/0!</v>
      </c>
      <c r="X92" s="809"/>
      <c r="Z92" s="986">
        <f t="shared" si="7"/>
        <v>1</v>
      </c>
      <c r="AA92" s="986" t="e">
        <f t="shared" si="8"/>
        <v>#DIV/0!</v>
      </c>
    </row>
    <row r="93" spans="1:27" ht="20.25" thickBot="1">
      <c r="C93" s="88"/>
      <c r="D93" s="88"/>
      <c r="F93" s="548" t="s">
        <v>765</v>
      </c>
      <c r="G93" s="548" t="s">
        <v>765</v>
      </c>
      <c r="H93" s="347" t="s">
        <v>766</v>
      </c>
      <c r="I93" s="347" t="s">
        <v>766</v>
      </c>
      <c r="J93" s="347" t="s">
        <v>767</v>
      </c>
      <c r="K93" s="347" t="s">
        <v>767</v>
      </c>
      <c r="L93" s="280" t="s">
        <v>442</v>
      </c>
      <c r="M93" s="576" t="e">
        <f>J35*I74/3.6</f>
        <v>#N/A</v>
      </c>
      <c r="N93" s="708" t="e">
        <f>J36*I74/3.6</f>
        <v>#N/A</v>
      </c>
      <c r="O93" s="725"/>
      <c r="P93" s="1017"/>
      <c r="Q93" s="708">
        <f t="shared" si="9"/>
        <v>0</v>
      </c>
      <c r="R93" s="726">
        <f>IFERROR(D76*(D68/H68)*(H64/E64)*(E64/H64),0)</f>
        <v>0</v>
      </c>
      <c r="S93" s="714"/>
      <c r="T93" s="671" t="e">
        <f>Q93/I74</f>
        <v>#N/A</v>
      </c>
      <c r="U93" s="671"/>
      <c r="V93" s="1053">
        <f>IFERROR(D81*(H71/D71)*(H64/E64)*(E64/H64),0)</f>
        <v>0</v>
      </c>
      <c r="W93" s="806" t="e">
        <f>E64/H64</f>
        <v>#DIV/0!</v>
      </c>
      <c r="X93" s="808" t="e">
        <f>E64/H64</f>
        <v>#DIV/0!</v>
      </c>
      <c r="Y93" s="1050" t="s">
        <v>857</v>
      </c>
      <c r="Z93" s="986">
        <f t="shared" si="7"/>
        <v>1</v>
      </c>
      <c r="AA93" s="986" t="e">
        <f t="shared" si="8"/>
        <v>#DIV/0!</v>
      </c>
    </row>
    <row r="94" spans="1:27" ht="20.25" thickBot="1">
      <c r="B94" s="632" t="s">
        <v>142</v>
      </c>
      <c r="C94" s="633"/>
      <c r="D94" s="88"/>
      <c r="E94" s="87" t="s">
        <v>444</v>
      </c>
      <c r="F94" s="87" t="s">
        <v>438</v>
      </c>
      <c r="G94" s="87" t="s">
        <v>439</v>
      </c>
      <c r="H94" s="254" t="s">
        <v>440</v>
      </c>
      <c r="I94" s="187" t="s">
        <v>441</v>
      </c>
      <c r="J94" s="2" t="s">
        <v>301</v>
      </c>
      <c r="K94" s="2" t="s">
        <v>303</v>
      </c>
      <c r="L94" s="279" t="s">
        <v>300</v>
      </c>
      <c r="M94" s="534" t="str">
        <f>J35</f>
        <v>0</v>
      </c>
      <c r="N94" s="709" t="str">
        <f>J36</f>
        <v>0</v>
      </c>
      <c r="O94" s="727">
        <f>IF(Z94&gt;1,P94*Z94,P94)</f>
        <v>0</v>
      </c>
      <c r="P94" s="1018">
        <f>IFERROR(D74*(D67/H67)*(H63/E63)*(E63/H63),0)</f>
        <v>0</v>
      </c>
      <c r="Q94" s="709">
        <f t="shared" si="9"/>
        <v>0</v>
      </c>
      <c r="R94" s="728">
        <f>IFERROR(D76*(D68/H68)*(H64/E64)*(E64/H64),0)</f>
        <v>0</v>
      </c>
      <c r="S94" s="715" t="e">
        <f>O94/M116/(I74/1000)</f>
        <v>#N/A</v>
      </c>
      <c r="T94" s="672" t="e">
        <f>Q94/M116/(I74/1000)</f>
        <v>#N/A</v>
      </c>
      <c r="U94" s="672"/>
      <c r="V94" s="737"/>
      <c r="W94" s="806" t="e">
        <f>(E63/H63)</f>
        <v>#DIV/0!</v>
      </c>
      <c r="X94" s="808" t="e">
        <f>E64/H64</f>
        <v>#DIV/0!</v>
      </c>
      <c r="Z94" s="986">
        <f t="shared" si="7"/>
        <v>1</v>
      </c>
      <c r="AA94" s="986" t="e">
        <f t="shared" si="8"/>
        <v>#DIV/0!</v>
      </c>
    </row>
    <row r="95" spans="1:27" ht="19.5">
      <c r="A95" s="88" t="s">
        <v>167</v>
      </c>
      <c r="B95" s="539" t="s">
        <v>779</v>
      </c>
      <c r="C95" s="142">
        <f>'2-2 算定シート（燃焼式）'!L79</f>
        <v>0</v>
      </c>
      <c r="E95" s="278" t="s">
        <v>218</v>
      </c>
      <c r="F95" s="604" t="str">
        <f>J18</f>
        <v>0</v>
      </c>
      <c r="G95" s="532" t="str">
        <f>J19</f>
        <v>0</v>
      </c>
      <c r="H95" s="533" t="e">
        <f>J3*E74*M112</f>
        <v>#N/A</v>
      </c>
      <c r="I95" s="533" t="e">
        <f>J4*E74*M112</f>
        <v>#N/A</v>
      </c>
      <c r="J95" s="578" t="str">
        <f>J5</f>
        <v>0</v>
      </c>
      <c r="K95" s="595" t="str">
        <f>J6</f>
        <v>0</v>
      </c>
      <c r="L95" s="280" t="s">
        <v>302</v>
      </c>
      <c r="M95" s="576" t="str">
        <f>J35</f>
        <v>0</v>
      </c>
      <c r="N95" s="708" t="str">
        <f>J36</f>
        <v>0</v>
      </c>
      <c r="O95" s="725">
        <f t="shared" ref="O95:O99" si="10">IF(Z95&gt;1,P95*Z95,P95)</f>
        <v>0</v>
      </c>
      <c r="P95" s="1017">
        <f>IFERROR(D74*(D67/H67)*(H63/E63)*(E63/H63),0)</f>
        <v>0</v>
      </c>
      <c r="Q95" s="708">
        <f t="shared" si="9"/>
        <v>0</v>
      </c>
      <c r="R95" s="726">
        <f>IFERROR(D76*(D68/H68)*(H64/E64)*(E64/H64),0)</f>
        <v>0</v>
      </c>
      <c r="S95" s="716" t="e">
        <f>O95/M116/(I74/1000)</f>
        <v>#N/A</v>
      </c>
      <c r="T95" s="671" t="e">
        <f>Q95/M116/(I74/1000)</f>
        <v>#N/A</v>
      </c>
      <c r="U95" s="671">
        <f>IFERROR(D80*(H71/(D69+D70+D71))*(H63/E63)*(E63/H63),0)</f>
        <v>0</v>
      </c>
      <c r="V95" s="736">
        <f>IFERROR(D81*(H71/D71)*(H64/E64)*(E64/H64),0)</f>
        <v>0</v>
      </c>
      <c r="W95" s="806" t="e">
        <f>(E63/H63)</f>
        <v>#DIV/0!</v>
      </c>
      <c r="X95" s="808" t="e">
        <f>E63/H63</f>
        <v>#DIV/0!</v>
      </c>
      <c r="Z95" s="986">
        <f t="shared" si="7"/>
        <v>1</v>
      </c>
      <c r="AA95" s="986" t="e">
        <f t="shared" si="8"/>
        <v>#DIV/0!</v>
      </c>
    </row>
    <row r="96" spans="1:27" ht="19.5">
      <c r="A96" s="88" t="s">
        <v>168</v>
      </c>
      <c r="B96" s="539" t="s">
        <v>780</v>
      </c>
      <c r="C96" s="142">
        <f>'2-2 算定シート（燃焼式）'!L80</f>
        <v>0</v>
      </c>
      <c r="E96" s="279" t="s">
        <v>429</v>
      </c>
      <c r="F96" s="605" t="str">
        <f>IF(B2="A重油",F98,IF(B2="灯油",F98,IF(B2="LPG",F98,F99)))</f>
        <v>0</v>
      </c>
      <c r="G96" s="259" t="str">
        <f>IF(B2="A重油",G98,IF(B2="灯油",G98,IF(B2="LPG",G98,G99)))</f>
        <v>0</v>
      </c>
      <c r="H96" s="259" t="e">
        <f>IF(B2="A重油",H98,IF(B2="灯油",H98,IF(B2="LPG",H98,H99)))</f>
        <v>#N/A</v>
      </c>
      <c r="I96" s="259" t="e">
        <f>IF(B2="A重油",I98,IF(B2="灯油",I98,IF(B2="LPG",I98,I99)))</f>
        <v>#N/A</v>
      </c>
      <c r="J96" s="586" t="str">
        <f>IF(B2="A重油",J98,IF(B2="灯油",J98,IF(B2="LPG",J98,J99)))</f>
        <v>0</v>
      </c>
      <c r="K96" s="585" t="str">
        <f>IF(B2="A重油",K98,IF(B2="灯油",K98,IF(B2="LPG",K98,K99)))</f>
        <v>0</v>
      </c>
      <c r="L96" s="279" t="s">
        <v>304</v>
      </c>
      <c r="M96" s="534" t="str">
        <f>J35</f>
        <v>0</v>
      </c>
      <c r="N96" s="709" t="str">
        <f>J36</f>
        <v>0</v>
      </c>
      <c r="O96" s="727">
        <f t="shared" si="10"/>
        <v>0</v>
      </c>
      <c r="P96" s="1018">
        <f>IFERROR(D74*(D67/H67)*(H63/E63)*(E63/H63),0)</f>
        <v>0</v>
      </c>
      <c r="Q96" s="709">
        <f t="shared" si="9"/>
        <v>0</v>
      </c>
      <c r="R96" s="728">
        <f>IFERROR(D76*(D68/H68)*(H64/E64)*(E64/H64),0)</f>
        <v>0</v>
      </c>
      <c r="S96" s="715" t="e">
        <f>O96/M116/(I74/1000)</f>
        <v>#N/A</v>
      </c>
      <c r="T96" s="672" t="e">
        <f>Q96/M116/(I74/1000)</f>
        <v>#N/A</v>
      </c>
      <c r="U96" s="672">
        <f>IFERROR(D80*((H69+H70+H71)/(D69+D70+D71))*(H63/E63)*(E63/H63),0)</f>
        <v>0</v>
      </c>
      <c r="V96" s="737">
        <f>IFERROR(D81*((H71+J59)/D71)*(H64/E64)*(E64/H64),0)</f>
        <v>0</v>
      </c>
      <c r="W96" s="806" t="e">
        <f>(E63/H63)</f>
        <v>#DIV/0!</v>
      </c>
      <c r="X96" s="808" t="e">
        <f>E64/H64</f>
        <v>#DIV/0!</v>
      </c>
      <c r="Z96" s="986">
        <f t="shared" si="7"/>
        <v>1</v>
      </c>
      <c r="AA96" s="986" t="e">
        <f t="shared" si="8"/>
        <v>#DIV/0!</v>
      </c>
    </row>
    <row r="97" spans="1:27" ht="20.25" thickBot="1">
      <c r="A97" s="88" t="s">
        <v>167</v>
      </c>
      <c r="B97" s="539" t="s">
        <v>102</v>
      </c>
      <c r="C97" s="142" cm="1">
        <f t="array" ref="C97:D97">'2-2 算定シート（燃焼式）'!L81:M81</f>
        <v>0</v>
      </c>
      <c r="D97" s="83">
        <v>0</v>
      </c>
      <c r="E97" s="281" t="s">
        <v>442</v>
      </c>
      <c r="F97" s="606" t="e">
        <f>J16*E74/3.6</f>
        <v>#N/A</v>
      </c>
      <c r="G97" s="260" t="e">
        <f>J19*E74/3.6</f>
        <v>#N/A</v>
      </c>
      <c r="H97" s="260" t="e">
        <f>J3*E74</f>
        <v>#N/A</v>
      </c>
      <c r="I97" s="276" t="e">
        <f>J4*E74</f>
        <v>#N/A</v>
      </c>
      <c r="J97" s="579"/>
      <c r="K97" s="596" t="str">
        <f>J6</f>
        <v>0</v>
      </c>
      <c r="L97" s="281" t="s">
        <v>465</v>
      </c>
      <c r="M97" s="577" t="str">
        <f>J35</f>
        <v>0</v>
      </c>
      <c r="N97" s="710" t="str">
        <f>J36</f>
        <v>0</v>
      </c>
      <c r="O97" s="729">
        <f t="shared" si="10"/>
        <v>0</v>
      </c>
      <c r="P97" s="1019">
        <f>IFERROR(D74*(D67/H67)*(H63/E63)*(E63/H63),0)</f>
        <v>0</v>
      </c>
      <c r="Q97" s="710">
        <f t="shared" si="9"/>
        <v>0</v>
      </c>
      <c r="R97" s="730">
        <f>IFERROR(D76*(D68/H68)*(H64/E64)*(E64/H64),0)</f>
        <v>0</v>
      </c>
      <c r="S97" s="717" t="e">
        <f>O97/M116/(I74/1000)</f>
        <v>#N/A</v>
      </c>
      <c r="T97" s="579" t="e">
        <f>Q97/M116/(I74/1000)</f>
        <v>#N/A</v>
      </c>
      <c r="U97" s="579">
        <f>IFERROR(D80*((H69+H70+H71)/(D69+D70+D71))*(H63/E63)*(E63/H63),0)</f>
        <v>0</v>
      </c>
      <c r="V97" s="596"/>
      <c r="W97" s="806" t="e">
        <f>(E63/H63)</f>
        <v>#DIV/0!</v>
      </c>
      <c r="X97" s="808" t="e">
        <f>E63/H63</f>
        <v>#DIV/0!</v>
      </c>
      <c r="Z97" s="986">
        <f t="shared" si="7"/>
        <v>1</v>
      </c>
      <c r="AA97" s="986" t="e">
        <f t="shared" si="8"/>
        <v>#DIV/0!</v>
      </c>
    </row>
    <row r="98" spans="1:27">
      <c r="D98" s="804" t="s">
        <v>918</v>
      </c>
      <c r="E98" s="601" t="s">
        <v>429</v>
      </c>
      <c r="F98" s="607" t="e">
        <f>J18*E74/3.6</f>
        <v>#N/A</v>
      </c>
      <c r="G98" s="587" t="e">
        <f>J19*E74/3.6</f>
        <v>#N/A</v>
      </c>
      <c r="H98" s="588" t="e">
        <f>J3*E74</f>
        <v>#N/A</v>
      </c>
      <c r="I98" s="588" t="e">
        <f>J4*E74</f>
        <v>#N/A</v>
      </c>
      <c r="J98" s="589" t="str">
        <f>J5</f>
        <v>0</v>
      </c>
      <c r="K98" s="593" t="str">
        <f>J6</f>
        <v>0</v>
      </c>
      <c r="L98" s="597" t="s">
        <v>778</v>
      </c>
      <c r="M98" s="598" t="e">
        <f>J35*I74/3.6</f>
        <v>#N/A</v>
      </c>
      <c r="N98" s="711" t="e">
        <f>J36*I74/3.6</f>
        <v>#N/A</v>
      </c>
      <c r="O98" s="731">
        <f t="shared" si="10"/>
        <v>0</v>
      </c>
      <c r="P98" s="1020">
        <f>IFERROR(D74*(D67/H67)*(H63/E63)*(E63/H63),0)</f>
        <v>0</v>
      </c>
      <c r="Q98" s="711">
        <f t="shared" si="9"/>
        <v>0</v>
      </c>
      <c r="R98" s="732">
        <f>IFERROR(D76*(D68/H68)*(H64/E64)*(E64/H64),0)</f>
        <v>0</v>
      </c>
      <c r="S98" s="718" t="e">
        <f>O98/I74</f>
        <v>#N/A</v>
      </c>
      <c r="T98" s="673" t="e">
        <f>Q98/I74</f>
        <v>#N/A</v>
      </c>
      <c r="U98" s="673">
        <f>IFERROR(D80*((H69+H70+H71)/(D69+D70+D71))*(H63/E63)*(E63/H63),0)</f>
        <v>0</v>
      </c>
      <c r="V98" s="738">
        <f>IFERROR(D81*(H71/D71)*(H64/E64)*(E64/H64),0)</f>
        <v>0</v>
      </c>
      <c r="W98" s="806" t="e">
        <f>(E63/H63)</f>
        <v>#DIV/0!</v>
      </c>
      <c r="X98" s="808" t="e">
        <f>E64/H64</f>
        <v>#DIV/0!</v>
      </c>
      <c r="Z98" s="986">
        <f t="shared" si="7"/>
        <v>1</v>
      </c>
      <c r="AA98" s="986" t="e">
        <f t="shared" si="8"/>
        <v>#DIV/0!</v>
      </c>
    </row>
    <row r="99" spans="1:27" ht="20.25" thickBot="1">
      <c r="A99" s="17" t="s">
        <v>146</v>
      </c>
      <c r="B99"/>
      <c r="C99"/>
      <c r="D99" s="603" t="s">
        <v>781</v>
      </c>
      <c r="E99" s="602" t="s">
        <v>429</v>
      </c>
      <c r="F99" s="608" t="str">
        <f>J18</f>
        <v>0</v>
      </c>
      <c r="G99" s="591" t="str">
        <f>J19</f>
        <v>0</v>
      </c>
      <c r="H99" s="591" t="e">
        <f>J3*E74*M112</f>
        <v>#N/A</v>
      </c>
      <c r="I99" s="591" t="e">
        <f>J4*E74*M112</f>
        <v>#N/A</v>
      </c>
      <c r="J99" s="592" t="str">
        <f>J5</f>
        <v>0</v>
      </c>
      <c r="K99" s="594" t="str">
        <f>J6</f>
        <v>0</v>
      </c>
      <c r="L99" s="590" t="s">
        <v>778</v>
      </c>
      <c r="M99" s="674" t="str">
        <f>J35</f>
        <v>0</v>
      </c>
      <c r="N99" s="712" t="str">
        <f>J36</f>
        <v>0</v>
      </c>
      <c r="O99" s="733">
        <f t="shared" si="10"/>
        <v>0</v>
      </c>
      <c r="P99" s="1021">
        <f>IFERROR(D74*(D67/H67)*(H63/E63)*(E63/H63),0)</f>
        <v>0</v>
      </c>
      <c r="Q99" s="712">
        <f t="shared" si="9"/>
        <v>0</v>
      </c>
      <c r="R99" s="734">
        <f>IFERROR(D76*(D68/H68)*(H64/E64)*(E64/H64),0)</f>
        <v>0</v>
      </c>
      <c r="S99" s="1057" t="e">
        <f>O99/I74/M120</f>
        <v>#N/A</v>
      </c>
      <c r="T99" s="1058" t="e">
        <f>Q99/I74/M120</f>
        <v>#N/A</v>
      </c>
      <c r="U99" s="592">
        <f>IFERROR(D80*((H69+H70+H71)/(D69+D70+D71))*(H63/E63)*(E63/H63),0)</f>
        <v>0</v>
      </c>
      <c r="V99" s="739">
        <f>IFERROR(D81*(H71/D71)*(H64/E64)*(E64/H64),0)</f>
        <v>0</v>
      </c>
      <c r="W99" s="807" t="e">
        <f>(E63/H63)</f>
        <v>#DIV/0!</v>
      </c>
      <c r="X99" s="808" t="e">
        <f>E64/H64</f>
        <v>#DIV/0!</v>
      </c>
      <c r="Z99" s="986">
        <f t="shared" si="7"/>
        <v>1</v>
      </c>
      <c r="AA99" s="986" t="e">
        <f t="shared" si="8"/>
        <v>#DIV/0!</v>
      </c>
    </row>
    <row r="100" spans="1:27" ht="20.25" thickBot="1">
      <c r="A100" s="89" t="s">
        <v>120</v>
      </c>
      <c r="B100" s="88"/>
      <c r="C100" s="88"/>
      <c r="D100" s="88"/>
      <c r="E100" s="88"/>
      <c r="F100"/>
      <c r="G100"/>
      <c r="N100"/>
      <c r="O100"/>
      <c r="P100"/>
      <c r="Q100"/>
      <c r="R100"/>
      <c r="U100" s="240" t="s">
        <v>955</v>
      </c>
      <c r="W100" s="9"/>
      <c r="X100" s="240" t="s">
        <v>934</v>
      </c>
      <c r="AA100" s="9" t="s">
        <v>972</v>
      </c>
    </row>
    <row r="101" spans="1:27" ht="20.25" thickBot="1">
      <c r="A101" s="105"/>
      <c r="B101" s="104"/>
      <c r="C101" s="541" t="s">
        <v>198</v>
      </c>
      <c r="D101" s="104"/>
      <c r="E101" s="267" t="s">
        <v>337</v>
      </c>
      <c r="F101" s="104"/>
      <c r="G101" s="964" t="s">
        <v>151</v>
      </c>
      <c r="H101" s="969"/>
      <c r="I101" s="970"/>
      <c r="J101" s="971"/>
      <c r="K101" s="972" t="s">
        <v>672</v>
      </c>
      <c r="L101" s="971"/>
      <c r="M101" s="971"/>
      <c r="N101" s="973" t="s">
        <v>816</v>
      </c>
      <c r="O101"/>
      <c r="P101"/>
      <c r="Q101"/>
      <c r="R101"/>
      <c r="X101"/>
      <c r="Y101"/>
    </row>
    <row r="102" spans="1:27" ht="20.25" thickBot="1">
      <c r="A102" s="241" t="s">
        <v>0</v>
      </c>
      <c r="B102" s="268"/>
      <c r="C102" s="675">
        <v>38.9</v>
      </c>
      <c r="D102" s="667" t="s">
        <v>393</v>
      </c>
      <c r="E102" s="678">
        <v>7.0694087403598976E-2</v>
      </c>
      <c r="F102" s="668" t="s">
        <v>338</v>
      </c>
      <c r="G102" s="965">
        <v>1</v>
      </c>
      <c r="H102" s="974" t="str">
        <f t="shared" ref="H102:H109" si="11">$N$105</f>
        <v>千円/t</v>
      </c>
      <c r="I102" s="975" t="e">
        <f>G102*H102</f>
        <v>#VALUE!</v>
      </c>
      <c r="J102" s="976" t="s">
        <v>26</v>
      </c>
      <c r="K102" s="977">
        <f t="shared" ref="K102:K109" si="12">$O$105</f>
        <v>0</v>
      </c>
      <c r="L102" s="978">
        <f>G102*K102</f>
        <v>0</v>
      </c>
      <c r="M102" s="976" t="s">
        <v>26</v>
      </c>
      <c r="N102" s="975" t="s">
        <v>66</v>
      </c>
      <c r="O102"/>
      <c r="P102"/>
      <c r="Q102"/>
      <c r="R102"/>
      <c r="X102"/>
      <c r="Y102"/>
    </row>
    <row r="103" spans="1:27" ht="20.25" thickBot="1">
      <c r="A103" s="241" t="s">
        <v>2</v>
      </c>
      <c r="B103" s="268"/>
      <c r="C103" s="675">
        <v>36.49</v>
      </c>
      <c r="D103" s="667" t="s">
        <v>393</v>
      </c>
      <c r="E103" s="678">
        <v>6.8511921074266915E-2</v>
      </c>
      <c r="F103" s="668" t="s">
        <v>338</v>
      </c>
      <c r="G103" s="965">
        <v>1</v>
      </c>
      <c r="H103" s="974" t="str">
        <f t="shared" si="11"/>
        <v>千円/t</v>
      </c>
      <c r="I103" s="975" t="e">
        <f>G103*H103</f>
        <v>#VALUE!</v>
      </c>
      <c r="J103" s="976" t="s">
        <v>26</v>
      </c>
      <c r="K103" s="977">
        <f t="shared" si="12"/>
        <v>0</v>
      </c>
      <c r="L103" s="978">
        <f>G103*K103</f>
        <v>0</v>
      </c>
      <c r="M103" s="976" t="s">
        <v>26</v>
      </c>
      <c r="N103" s="979" t="s">
        <v>814</v>
      </c>
      <c r="O103"/>
      <c r="P103"/>
      <c r="Q103"/>
      <c r="R103"/>
      <c r="X103"/>
      <c r="Y103"/>
    </row>
    <row r="104" spans="1:27" ht="20.25" thickBot="1">
      <c r="A104" s="241" t="s">
        <v>3</v>
      </c>
      <c r="B104" s="268"/>
      <c r="C104" s="675">
        <v>50.08</v>
      </c>
      <c r="D104" s="667" t="s">
        <v>394</v>
      </c>
      <c r="E104" s="678">
        <v>5.9704472843450485E-2</v>
      </c>
      <c r="F104" s="668" t="s">
        <v>338</v>
      </c>
      <c r="G104" s="965">
        <v>2.0747</v>
      </c>
      <c r="H104" s="974" t="str">
        <f t="shared" si="11"/>
        <v>千円/t</v>
      </c>
      <c r="I104" s="975" t="e">
        <f>G104*H104</f>
        <v>#VALUE!</v>
      </c>
      <c r="J104" s="976" t="s">
        <v>14</v>
      </c>
      <c r="K104" s="977">
        <f t="shared" si="12"/>
        <v>0</v>
      </c>
      <c r="L104" s="978">
        <f>G104*K104</f>
        <v>0</v>
      </c>
      <c r="M104" s="976" t="s">
        <v>14</v>
      </c>
      <c r="N104" s="975" t="s">
        <v>67</v>
      </c>
      <c r="O104"/>
      <c r="P104"/>
      <c r="Q104"/>
      <c r="R104"/>
      <c r="S104" s="540"/>
    </row>
    <row r="105" spans="1:27" ht="17.45" customHeight="1" thickBot="1">
      <c r="A105" s="241" t="s">
        <v>4</v>
      </c>
      <c r="B105" s="268"/>
      <c r="C105" s="675">
        <v>54.7</v>
      </c>
      <c r="D105" s="667" t="s">
        <v>394</v>
      </c>
      <c r="E105" s="678">
        <v>5.1005484460694694E-2</v>
      </c>
      <c r="F105" s="668" t="s">
        <v>338</v>
      </c>
      <c r="G105" s="965">
        <v>1</v>
      </c>
      <c r="H105" s="974" t="str">
        <f t="shared" si="11"/>
        <v>千円/t</v>
      </c>
      <c r="I105" s="975" t="e">
        <f>G105*H105</f>
        <v>#VALUE!</v>
      </c>
      <c r="J105" s="976" t="s">
        <v>14</v>
      </c>
      <c r="K105" s="977">
        <f t="shared" si="12"/>
        <v>0</v>
      </c>
      <c r="L105" s="978">
        <f>G105*K105</f>
        <v>0</v>
      </c>
      <c r="M105" s="976" t="s">
        <v>14</v>
      </c>
      <c r="N105" s="975" t="s">
        <v>67</v>
      </c>
      <c r="O105"/>
      <c r="P105"/>
      <c r="Q105"/>
      <c r="R105"/>
    </row>
    <row r="106" spans="1:27" ht="20.25" thickBot="1">
      <c r="A106" s="546" t="s">
        <v>391</v>
      </c>
      <c r="B106" s="268"/>
      <c r="C106" s="675">
        <v>42.4</v>
      </c>
      <c r="D106" s="667" t="s">
        <v>395</v>
      </c>
      <c r="E106" s="678">
        <v>5.0999999999999997E-2</v>
      </c>
      <c r="F106" s="668" t="s">
        <v>338</v>
      </c>
      <c r="G106" s="966"/>
      <c r="H106" s="974" t="str">
        <f t="shared" si="11"/>
        <v>千円/t</v>
      </c>
      <c r="I106" s="975"/>
      <c r="J106" s="975"/>
      <c r="K106" s="977">
        <f t="shared" si="12"/>
        <v>0</v>
      </c>
      <c r="L106" s="978"/>
      <c r="M106" s="975"/>
      <c r="N106" s="979"/>
      <c r="O106"/>
      <c r="P106"/>
      <c r="Q106"/>
      <c r="R106"/>
    </row>
    <row r="107" spans="1:27" ht="20.25" thickBot="1">
      <c r="A107" s="241" t="s">
        <v>392</v>
      </c>
      <c r="B107" s="268"/>
      <c r="C107" s="675">
        <v>45</v>
      </c>
      <c r="D107" s="667" t="s">
        <v>395</v>
      </c>
      <c r="E107" s="679">
        <v>5.0444444444444445E-2</v>
      </c>
      <c r="F107" s="668" t="s">
        <v>338</v>
      </c>
      <c r="G107" s="967">
        <v>0.92910000000000004</v>
      </c>
      <c r="H107" s="974" t="str">
        <f t="shared" si="11"/>
        <v>千円/t</v>
      </c>
      <c r="I107" s="975" t="e">
        <f>G107*H107</f>
        <v>#VALUE!</v>
      </c>
      <c r="J107" s="976" t="s">
        <v>15</v>
      </c>
      <c r="K107" s="977">
        <f t="shared" si="12"/>
        <v>0</v>
      </c>
      <c r="L107" s="978">
        <f>G107*K107</f>
        <v>0</v>
      </c>
      <c r="M107" s="976" t="s">
        <v>15</v>
      </c>
      <c r="N107" s="979" t="s">
        <v>815</v>
      </c>
      <c r="O107"/>
      <c r="P107"/>
    </row>
    <row r="108" spans="1:27" ht="19.5" thickBot="1">
      <c r="A108" s="546" t="s">
        <v>396</v>
      </c>
      <c r="B108" s="246"/>
      <c r="C108" s="676">
        <v>40.9</v>
      </c>
      <c r="D108" s="669" t="s">
        <v>395</v>
      </c>
      <c r="E108" s="678">
        <v>5.1299999999999998E-2</v>
      </c>
      <c r="F108" s="668" t="s">
        <v>338</v>
      </c>
      <c r="G108" s="966"/>
      <c r="H108" s="974" t="str">
        <f t="shared" si="11"/>
        <v>千円/t</v>
      </c>
      <c r="I108" s="975"/>
      <c r="J108" s="975"/>
      <c r="K108" s="977">
        <f t="shared" si="12"/>
        <v>0</v>
      </c>
      <c r="L108" s="978"/>
      <c r="M108" s="975"/>
      <c r="N108" s="975"/>
    </row>
    <row r="109" spans="1:27" ht="20.25" thickBot="1">
      <c r="A109" s="242" t="s">
        <v>432</v>
      </c>
      <c r="B109" s="269"/>
      <c r="C109" s="677">
        <v>3.6</v>
      </c>
      <c r="D109" s="684" t="s">
        <v>856</v>
      </c>
      <c r="E109" s="1055">
        <v>4.3800000000000002E-4</v>
      </c>
      <c r="F109" s="251" t="s">
        <v>633</v>
      </c>
      <c r="G109" s="968">
        <v>1</v>
      </c>
      <c r="H109" s="974" t="str">
        <f t="shared" si="11"/>
        <v>千円/t</v>
      </c>
      <c r="I109" s="975" t="e">
        <f>H109*G109</f>
        <v>#VALUE!</v>
      </c>
      <c r="J109" s="976" t="s">
        <v>849</v>
      </c>
      <c r="K109" s="977">
        <f t="shared" si="12"/>
        <v>0</v>
      </c>
      <c r="L109" s="978">
        <f>K109*G109</f>
        <v>0</v>
      </c>
      <c r="M109" s="976" t="s">
        <v>849</v>
      </c>
      <c r="N109" s="975" t="s">
        <v>863</v>
      </c>
    </row>
    <row r="110" spans="1:27" ht="19.5">
      <c r="E110" s="1">
        <f>E109/(3.6/1000)/M116</f>
        <v>5.0694444444444452E-2</v>
      </c>
      <c r="F110" s="686" t="s">
        <v>858</v>
      </c>
      <c r="O110"/>
      <c r="P110"/>
    </row>
    <row r="111" spans="1:27" ht="20.25" thickBot="1">
      <c r="A111" s="89" t="s">
        <v>121</v>
      </c>
      <c r="B111"/>
      <c r="C111"/>
      <c r="E111" s="1" t="s">
        <v>859</v>
      </c>
      <c r="G111" s="189"/>
      <c r="H111"/>
      <c r="I111"/>
      <c r="J111"/>
      <c r="K111"/>
      <c r="O111"/>
      <c r="P111"/>
      <c r="Q111"/>
      <c r="R111"/>
      <c r="S111"/>
      <c r="T111"/>
      <c r="U111"/>
    </row>
    <row r="112" spans="1:27" ht="20.25" thickBot="1">
      <c r="A112" s="244"/>
      <c r="B112" s="245"/>
      <c r="C112" s="262"/>
      <c r="D112"/>
      <c r="E112" s="1056" t="s">
        <v>974</v>
      </c>
      <c r="F112"/>
      <c r="I112"/>
      <c r="J112"/>
      <c r="K112"/>
      <c r="L112"/>
      <c r="M112" s="561" t="e">
        <f>VLOOKUP(B2,I113:M117,5,FALSE)</f>
        <v>#N/A</v>
      </c>
      <c r="N112" s="552" t="s">
        <v>433</v>
      </c>
      <c r="O112"/>
      <c r="P112"/>
      <c r="S112"/>
      <c r="T112"/>
      <c r="U112"/>
    </row>
    <row r="113" spans="1:21" ht="19.5">
      <c r="A113" s="241" t="s">
        <v>220</v>
      </c>
      <c r="B113" s="246"/>
      <c r="C113" s="241"/>
      <c r="D113"/>
      <c r="E113"/>
      <c r="F113"/>
      <c r="H113" s="12" t="s">
        <v>764</v>
      </c>
      <c r="I113" s="562" t="s">
        <v>202</v>
      </c>
      <c r="J113" s="563" t="s">
        <v>795</v>
      </c>
      <c r="K113" s="311"/>
      <c r="L113" s="564"/>
      <c r="M113" s="553">
        <v>1</v>
      </c>
      <c r="N113" s="1" t="s">
        <v>794</v>
      </c>
      <c r="O113"/>
      <c r="P113"/>
      <c r="Q113"/>
      <c r="R113"/>
      <c r="S113"/>
      <c r="T113"/>
      <c r="U113"/>
    </row>
    <row r="114" spans="1:21" ht="19.5">
      <c r="A114" s="241" t="s">
        <v>418</v>
      </c>
      <c r="B114" s="246"/>
      <c r="C114" s="241"/>
      <c r="D114"/>
      <c r="E114"/>
      <c r="F114"/>
      <c r="H114" s="12" t="s">
        <v>764</v>
      </c>
      <c r="I114" s="247" t="s">
        <v>208</v>
      </c>
      <c r="J114" s="555" t="s">
        <v>796</v>
      </c>
      <c r="K114" s="8"/>
      <c r="L114" s="556"/>
      <c r="M114" s="554">
        <v>1</v>
      </c>
      <c r="N114" s="1" t="s">
        <v>207</v>
      </c>
      <c r="Q114" s="1">
        <v>0.48199999999999998</v>
      </c>
      <c r="S114"/>
      <c r="T114"/>
      <c r="U114"/>
    </row>
    <row r="115" spans="1:21" ht="19.5">
      <c r="A115" s="241" t="s">
        <v>419</v>
      </c>
      <c r="B115" s="246"/>
      <c r="C115" s="241"/>
      <c r="D115"/>
      <c r="E115"/>
      <c r="F115"/>
      <c r="I115" s="652" t="s">
        <v>824</v>
      </c>
      <c r="J115" s="400"/>
      <c r="K115" s="58"/>
      <c r="L115" s="401"/>
      <c r="M115" s="653">
        <v>1</v>
      </c>
      <c r="O115"/>
      <c r="P115"/>
      <c r="Q115"/>
      <c r="R115"/>
      <c r="S115"/>
      <c r="T115"/>
      <c r="U115"/>
    </row>
    <row r="116" spans="1:21" ht="19.5">
      <c r="A116" s="241" t="s">
        <v>160</v>
      </c>
      <c r="B116" s="246"/>
      <c r="C116" s="241"/>
      <c r="D116"/>
      <c r="E116"/>
      <c r="F116"/>
      <c r="H116" s="12" t="s">
        <v>769</v>
      </c>
      <c r="I116" s="247" t="s">
        <v>200</v>
      </c>
      <c r="J116" s="559" t="s">
        <v>213</v>
      </c>
      <c r="K116" s="58"/>
      <c r="L116" s="560"/>
      <c r="M116" s="554">
        <v>2.4</v>
      </c>
      <c r="O116"/>
      <c r="P116"/>
      <c r="Q116"/>
      <c r="R116"/>
      <c r="S116"/>
      <c r="T116"/>
      <c r="U116"/>
    </row>
    <row r="117" spans="1:21" ht="19.5">
      <c r="A117" s="241" t="s">
        <v>122</v>
      </c>
      <c r="B117" s="246"/>
      <c r="C117" s="241"/>
      <c r="D117"/>
      <c r="E117"/>
      <c r="F117"/>
      <c r="H117" s="12" t="s">
        <v>769</v>
      </c>
      <c r="I117" s="565" t="s">
        <v>205</v>
      </c>
      <c r="J117" s="557" t="s">
        <v>213</v>
      </c>
      <c r="K117" s="11"/>
      <c r="L117" s="558"/>
      <c r="M117" s="554">
        <v>2.4</v>
      </c>
      <c r="O117"/>
      <c r="P117"/>
      <c r="Q117"/>
      <c r="R117"/>
      <c r="S117"/>
      <c r="T117"/>
      <c r="U117"/>
    </row>
    <row r="118" spans="1:21" ht="20.25" thickBot="1">
      <c r="A118" s="241" t="s">
        <v>123</v>
      </c>
      <c r="B118" s="246"/>
      <c r="C118" s="241"/>
      <c r="D118"/>
      <c r="E118"/>
      <c r="F118"/>
      <c r="H118" s="12" t="s">
        <v>768</v>
      </c>
      <c r="I118" s="566" t="s">
        <v>432</v>
      </c>
      <c r="J118" s="567"/>
      <c r="K118" s="568"/>
      <c r="L118" s="569"/>
      <c r="M118" s="269">
        <v>1</v>
      </c>
      <c r="N118"/>
      <c r="O118"/>
      <c r="P118"/>
      <c r="Q118"/>
      <c r="R118"/>
      <c r="S118"/>
      <c r="T118"/>
      <c r="U118"/>
    </row>
    <row r="119" spans="1:21" ht="20.25" thickBot="1">
      <c r="A119" s="242" t="s">
        <v>124</v>
      </c>
      <c r="B119" s="243"/>
      <c r="C119" s="241"/>
      <c r="D119"/>
      <c r="E119"/>
      <c r="F119"/>
      <c r="I119" s="336" t="s">
        <v>576</v>
      </c>
      <c r="J119" s="337"/>
      <c r="K119" s="337"/>
      <c r="L119" s="337"/>
      <c r="M119" s="338">
        <f>ROUND(((7+273)/(32-7))/((7+273)/(30-7)),2)</f>
        <v>0.92</v>
      </c>
      <c r="O119"/>
      <c r="P119"/>
      <c r="Q119"/>
      <c r="R119"/>
      <c r="S119"/>
      <c r="T119"/>
      <c r="U119"/>
    </row>
    <row r="120" spans="1:21" ht="20.25" thickBot="1">
      <c r="A120" s="311"/>
      <c r="B120" s="550"/>
      <c r="C120" s="549"/>
      <c r="D120"/>
      <c r="E120"/>
      <c r="F120"/>
      <c r="G120"/>
      <c r="I120" s="296" t="s">
        <v>580</v>
      </c>
      <c r="J120" s="282"/>
      <c r="K120" s="282"/>
      <c r="L120" s="282"/>
      <c r="M120" s="600" t="e">
        <f>VLOOKUP(B33,I113:M118,5,FALSE)</f>
        <v>#N/A</v>
      </c>
      <c r="N120" s="599" t="s">
        <v>782</v>
      </c>
      <c r="O120"/>
      <c r="P120"/>
      <c r="Q120"/>
      <c r="R120"/>
      <c r="S120"/>
      <c r="T120"/>
      <c r="U120"/>
    </row>
    <row r="121" spans="1:21" ht="19.5">
      <c r="A121"/>
      <c r="B121"/>
      <c r="C121"/>
      <c r="D121"/>
      <c r="E121"/>
      <c r="F121"/>
      <c r="G121"/>
      <c r="H121"/>
      <c r="I121"/>
      <c r="O121"/>
      <c r="P121"/>
      <c r="Q121"/>
      <c r="R121"/>
      <c r="S121"/>
      <c r="T121"/>
      <c r="U121"/>
    </row>
    <row r="122" spans="1:21" ht="19.5">
      <c r="A122"/>
      <c r="B122"/>
      <c r="C122"/>
      <c r="D122"/>
      <c r="E122"/>
      <c r="F122"/>
      <c r="G122"/>
      <c r="H122"/>
      <c r="I122"/>
      <c r="Q122"/>
      <c r="R122"/>
      <c r="S122"/>
      <c r="T122"/>
      <c r="U122"/>
    </row>
    <row r="123" spans="1:21" ht="19.5">
      <c r="A123"/>
      <c r="B123"/>
      <c r="C123"/>
      <c r="E123"/>
      <c r="G123"/>
    </row>
    <row r="124" spans="1:21" ht="19.5">
      <c r="A124"/>
      <c r="B124"/>
      <c r="C124"/>
    </row>
    <row r="125" spans="1:21" ht="19.5">
      <c r="A125"/>
      <c r="B125"/>
      <c r="C125"/>
    </row>
    <row r="126" spans="1:21" ht="19.5">
      <c r="A126"/>
      <c r="B126"/>
      <c r="C126"/>
    </row>
    <row r="127" spans="1:21" ht="19.5">
      <c r="A127"/>
      <c r="B127"/>
      <c r="C127"/>
    </row>
    <row r="128" spans="1:21" ht="19.5">
      <c r="A128"/>
      <c r="B128"/>
      <c r="C128"/>
    </row>
  </sheetData>
  <mergeCells count="57">
    <mergeCell ref="A89:B89"/>
    <mergeCell ref="C47:C49"/>
    <mergeCell ref="L57:N57"/>
    <mergeCell ref="L36:N36"/>
    <mergeCell ref="L46:N46"/>
    <mergeCell ref="L47:N47"/>
    <mergeCell ref="L49:N49"/>
    <mergeCell ref="L37:N37"/>
    <mergeCell ref="L38:N38"/>
    <mergeCell ref="A69:C69"/>
    <mergeCell ref="A70:C70"/>
    <mergeCell ref="A71:C71"/>
    <mergeCell ref="L40:N40"/>
    <mergeCell ref="L61:M61"/>
    <mergeCell ref="L24:N24"/>
    <mergeCell ref="L25:N25"/>
    <mergeCell ref="L26:M26"/>
    <mergeCell ref="L28:M28"/>
    <mergeCell ref="M48:O48"/>
    <mergeCell ref="L29:N29"/>
    <mergeCell ref="X32:AA32"/>
    <mergeCell ref="L59:M59"/>
    <mergeCell ref="M50:O50"/>
    <mergeCell ref="M52:O52"/>
    <mergeCell ref="L54:N54"/>
    <mergeCell ref="L3:N3"/>
    <mergeCell ref="L14:N14"/>
    <mergeCell ref="L15:N15"/>
    <mergeCell ref="L17:N17"/>
    <mergeCell ref="L19:N19"/>
    <mergeCell ref="N16:O16"/>
    <mergeCell ref="N18:O18"/>
    <mergeCell ref="L9:N9"/>
    <mergeCell ref="L10:N10"/>
    <mergeCell ref="L11:N11"/>
    <mergeCell ref="L12:N12"/>
    <mergeCell ref="L13:N13"/>
    <mergeCell ref="L4:N4"/>
    <mergeCell ref="L5:N5"/>
    <mergeCell ref="L6:N6"/>
    <mergeCell ref="L7:N7"/>
    <mergeCell ref="I8:I9"/>
    <mergeCell ref="L22:N22"/>
    <mergeCell ref="L8:N8"/>
    <mergeCell ref="N20:O20"/>
    <mergeCell ref="D57:D60"/>
    <mergeCell ref="L51:N51"/>
    <mergeCell ref="L53:N53"/>
    <mergeCell ref="L60:M60"/>
    <mergeCell ref="L34:N34"/>
    <mergeCell ref="L58:N58"/>
    <mergeCell ref="L39:N39"/>
    <mergeCell ref="L35:N35"/>
    <mergeCell ref="L56:N56"/>
    <mergeCell ref="L27:M27"/>
    <mergeCell ref="L21:N21"/>
    <mergeCell ref="L23:N23"/>
  </mergeCells>
  <phoneticPr fontId="32"/>
  <conditionalFormatting sqref="H15">
    <cfRule type="cellIs" dxfId="6" priority="2" operator="greaterThan">
      <formula>0</formula>
    </cfRule>
  </conditionalFormatting>
  <printOptions horizontalCentered="1"/>
  <pageMargins left="0.31496062992125984" right="0.31496062992125984" top="0.35433070866141736" bottom="0.35433070866141736" header="0.31496062992125984" footer="0.31496062992125984"/>
  <pageSetup paperSize="8" scale="44" orientation="portrait" r:id="rId1"/>
  <rowBreaks count="2" manualBreakCount="2">
    <brk id="61" max="24" man="1"/>
    <brk id="120" max="23" man="1"/>
  </rowBreaks>
  <ignoredErrors>
    <ignoredError sqref="J34 J1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2B406-E8E2-48F9-923D-7D67C0F45B5F}">
  <sheetPr>
    <tabColor theme="7" tint="-0.499984740745262"/>
  </sheetPr>
  <dimension ref="A1:Q251"/>
  <sheetViews>
    <sheetView topLeftCell="A218" zoomScaleNormal="100" workbookViewId="0">
      <selection activeCell="L235" sqref="L235"/>
    </sheetView>
  </sheetViews>
  <sheetFormatPr defaultColWidth="8.75" defaultRowHeight="18.75"/>
  <cols>
    <col min="1" max="1" width="3.875" style="282" customWidth="1"/>
    <col min="2" max="5" width="8.75" style="282"/>
    <col min="6" max="6" width="10.25" style="282" bestFit="1" customWidth="1"/>
    <col min="7" max="7" width="9.375" style="282" bestFit="1" customWidth="1"/>
    <col min="8" max="8" width="9.25" style="282" customWidth="1"/>
    <col min="9" max="9" width="8.125" style="282" customWidth="1"/>
    <col min="10" max="10" width="9.75" style="282" customWidth="1"/>
    <col min="11" max="11" width="8.75" style="282"/>
    <col min="12" max="14" width="10.875" style="282" bestFit="1" customWidth="1"/>
    <col min="15" max="15" width="9.75" style="282" bestFit="1" customWidth="1"/>
    <col min="16" max="16384" width="8.75" style="282"/>
  </cols>
  <sheetData>
    <row r="1" spans="1:10">
      <c r="A1" s="282" t="s">
        <v>196</v>
      </c>
      <c r="J1" s="466">
        <v>45646</v>
      </c>
    </row>
    <row r="2" spans="1:10">
      <c r="A2" s="282" t="s">
        <v>197</v>
      </c>
    </row>
    <row r="3" spans="1:10">
      <c r="B3" s="282" t="s">
        <v>684</v>
      </c>
      <c r="H3" s="282" t="s">
        <v>199</v>
      </c>
    </row>
    <row r="4" spans="1:10">
      <c r="B4" s="467" t="s">
        <v>200</v>
      </c>
      <c r="C4" s="467">
        <v>38.9</v>
      </c>
      <c r="D4" s="467" t="s">
        <v>201</v>
      </c>
      <c r="E4" s="468" t="s">
        <v>202</v>
      </c>
      <c r="F4" s="469">
        <v>45</v>
      </c>
      <c r="G4" s="470" t="s">
        <v>203</v>
      </c>
      <c r="H4" s="467">
        <v>0.96699999999999997</v>
      </c>
      <c r="I4" s="467" t="s">
        <v>204</v>
      </c>
    </row>
    <row r="5" spans="1:10">
      <c r="B5" s="467" t="s">
        <v>205</v>
      </c>
      <c r="C5" s="467">
        <v>36.5</v>
      </c>
      <c r="D5" s="467" t="s">
        <v>201</v>
      </c>
      <c r="E5" s="471" t="s">
        <v>206</v>
      </c>
      <c r="F5" s="467">
        <v>40.9</v>
      </c>
      <c r="G5" s="472" t="s">
        <v>203</v>
      </c>
      <c r="H5" s="473" t="s">
        <v>207</v>
      </c>
    </row>
    <row r="6" spans="1:10">
      <c r="B6" s="467" t="s">
        <v>208</v>
      </c>
      <c r="C6" s="467">
        <v>50.1</v>
      </c>
      <c r="D6" s="467" t="s">
        <v>209</v>
      </c>
      <c r="E6" s="471" t="s">
        <v>210</v>
      </c>
      <c r="F6" s="467">
        <v>42.4</v>
      </c>
      <c r="G6" s="472" t="s">
        <v>203</v>
      </c>
      <c r="H6" s="467">
        <v>0.48199999999999998</v>
      </c>
      <c r="I6" s="467" t="s">
        <v>211</v>
      </c>
    </row>
    <row r="7" spans="1:10">
      <c r="B7" s="467"/>
      <c r="C7" s="467"/>
      <c r="D7" s="467"/>
      <c r="E7" s="474" t="s">
        <v>212</v>
      </c>
      <c r="F7" s="467">
        <v>54.7</v>
      </c>
      <c r="G7" s="472" t="s">
        <v>209</v>
      </c>
      <c r="I7" s="475"/>
    </row>
    <row r="8" spans="1:10">
      <c r="B8" s="282" t="s">
        <v>213</v>
      </c>
      <c r="E8" s="476">
        <v>2.4</v>
      </c>
      <c r="F8" s="477" t="s">
        <v>214</v>
      </c>
      <c r="G8" s="478"/>
      <c r="I8" s="475"/>
    </row>
    <row r="9" spans="1:10">
      <c r="G9" s="478"/>
      <c r="I9" s="475"/>
    </row>
    <row r="10" spans="1:10">
      <c r="B10" s="282" t="s">
        <v>215</v>
      </c>
    </row>
    <row r="11" spans="1:10">
      <c r="A11" s="282" t="s">
        <v>216</v>
      </c>
    </row>
    <row r="12" spans="1:10">
      <c r="A12" s="479" t="s">
        <v>217</v>
      </c>
      <c r="B12" s="282" t="s">
        <v>218</v>
      </c>
    </row>
    <row r="13" spans="1:10">
      <c r="A13" s="479" t="s">
        <v>219</v>
      </c>
      <c r="B13" s="282" t="s">
        <v>220</v>
      </c>
    </row>
    <row r="14" spans="1:10">
      <c r="A14" s="479" t="s">
        <v>221</v>
      </c>
      <c r="B14" s="282" t="s">
        <v>222</v>
      </c>
    </row>
    <row r="15" spans="1:10">
      <c r="A15" s="282" t="s">
        <v>223</v>
      </c>
    </row>
    <row r="16" spans="1:10">
      <c r="B16" s="282" t="s">
        <v>224</v>
      </c>
      <c r="C16" s="282" t="s">
        <v>685</v>
      </c>
    </row>
    <row r="17" spans="1:8">
      <c r="C17" s="282" t="s">
        <v>225</v>
      </c>
      <c r="D17" s="282" t="s">
        <v>226</v>
      </c>
    </row>
    <row r="18" spans="1:8">
      <c r="C18" s="282" t="s">
        <v>227</v>
      </c>
      <c r="D18" s="282" t="s">
        <v>228</v>
      </c>
    </row>
    <row r="20" spans="1:8">
      <c r="B20" s="282" t="s">
        <v>229</v>
      </c>
    </row>
    <row r="21" spans="1:8">
      <c r="B21" s="282" t="s">
        <v>230</v>
      </c>
    </row>
    <row r="22" spans="1:8">
      <c r="B22" s="282" t="s">
        <v>686</v>
      </c>
    </row>
    <row r="23" spans="1:8">
      <c r="B23" s="467"/>
      <c r="C23" s="1365" t="s">
        <v>231</v>
      </c>
      <c r="D23" s="1366"/>
      <c r="E23" s="467" t="s">
        <v>232</v>
      </c>
      <c r="F23" s="467"/>
      <c r="G23" s="467" t="s">
        <v>233</v>
      </c>
      <c r="H23" s="467"/>
    </row>
    <row r="24" spans="1:8">
      <c r="B24" s="467" t="s">
        <v>234</v>
      </c>
      <c r="C24" s="1362" t="s">
        <v>200</v>
      </c>
      <c r="D24" s="1364"/>
      <c r="E24" s="467">
        <v>60</v>
      </c>
      <c r="F24" s="467" t="s">
        <v>235</v>
      </c>
      <c r="G24" s="467">
        <v>25</v>
      </c>
      <c r="H24" s="467" t="s">
        <v>236</v>
      </c>
    </row>
    <row r="25" spans="1:8">
      <c r="B25" s="467" t="s">
        <v>237</v>
      </c>
      <c r="C25" s="467" t="s">
        <v>202</v>
      </c>
      <c r="D25" s="467"/>
      <c r="E25" s="467">
        <v>80</v>
      </c>
      <c r="F25" s="467" t="s">
        <v>238</v>
      </c>
      <c r="G25" s="467">
        <v>25</v>
      </c>
      <c r="H25" s="467" t="s">
        <v>236</v>
      </c>
    </row>
    <row r="26" spans="1:8">
      <c r="B26" s="282" t="s">
        <v>239</v>
      </c>
    </row>
    <row r="28" spans="1:8" hidden="1">
      <c r="A28" s="282" t="s">
        <v>477</v>
      </c>
      <c r="B28" s="479" t="s">
        <v>475</v>
      </c>
      <c r="C28" s="282" t="s">
        <v>687</v>
      </c>
    </row>
    <row r="29" spans="1:8" hidden="1">
      <c r="A29" s="282" t="s">
        <v>477</v>
      </c>
      <c r="B29" s="479"/>
      <c r="C29" s="282" t="s">
        <v>688</v>
      </c>
    </row>
    <row r="30" spans="1:8" hidden="1">
      <c r="A30" s="282" t="s">
        <v>477</v>
      </c>
      <c r="B30" s="479"/>
      <c r="C30" s="282" t="s">
        <v>689</v>
      </c>
    </row>
    <row r="31" spans="1:8" hidden="1">
      <c r="A31" s="282" t="s">
        <v>477</v>
      </c>
      <c r="B31" s="479"/>
      <c r="C31" s="282" t="s">
        <v>690</v>
      </c>
    </row>
    <row r="32" spans="1:8" hidden="1">
      <c r="A32" s="282" t="s">
        <v>477</v>
      </c>
      <c r="B32" s="479" t="s">
        <v>217</v>
      </c>
      <c r="C32" s="282" t="s">
        <v>218</v>
      </c>
    </row>
    <row r="33" spans="1:10" hidden="1">
      <c r="A33" s="282" t="s">
        <v>477</v>
      </c>
      <c r="C33" s="282" t="s">
        <v>241</v>
      </c>
      <c r="D33" s="282" t="s">
        <v>240</v>
      </c>
      <c r="E33" s="282" t="s">
        <v>275</v>
      </c>
      <c r="G33" s="282" t="s">
        <v>276</v>
      </c>
      <c r="H33" s="481">
        <f>F110</f>
        <v>95</v>
      </c>
      <c r="I33" s="282" t="s">
        <v>277</v>
      </c>
      <c r="J33" s="482"/>
    </row>
    <row r="34" spans="1:10" hidden="1">
      <c r="A34" s="282" t="s">
        <v>477</v>
      </c>
      <c r="E34" s="282" t="s">
        <v>479</v>
      </c>
      <c r="G34" s="479"/>
      <c r="H34" s="483">
        <v>10</v>
      </c>
      <c r="I34" s="282" t="s">
        <v>480</v>
      </c>
      <c r="J34" s="482"/>
    </row>
    <row r="35" spans="1:10" hidden="1">
      <c r="A35" s="282" t="s">
        <v>477</v>
      </c>
      <c r="G35" s="479"/>
      <c r="H35" s="282">
        <v>22</v>
      </c>
      <c r="I35" s="282" t="s">
        <v>481</v>
      </c>
      <c r="J35" s="482"/>
    </row>
    <row r="36" spans="1:10" hidden="1">
      <c r="A36" s="282" t="s">
        <v>477</v>
      </c>
      <c r="G36" s="479"/>
      <c r="H36" s="282">
        <v>6.5</v>
      </c>
      <c r="I36" s="282" t="s">
        <v>482</v>
      </c>
      <c r="J36" s="482" t="s">
        <v>483</v>
      </c>
    </row>
    <row r="37" spans="1:10" hidden="1">
      <c r="A37" s="282" t="s">
        <v>477</v>
      </c>
      <c r="E37" s="282" t="s">
        <v>484</v>
      </c>
      <c r="G37" s="479"/>
      <c r="H37" s="484">
        <v>0.3</v>
      </c>
      <c r="I37" s="282" t="s">
        <v>691</v>
      </c>
      <c r="J37" s="482"/>
    </row>
    <row r="38" spans="1:10" hidden="1">
      <c r="A38" s="282" t="s">
        <v>477</v>
      </c>
      <c r="E38" s="282" t="s">
        <v>692</v>
      </c>
      <c r="G38" s="479"/>
      <c r="H38" s="485">
        <f>H33*H34*H35*H36*H37</f>
        <v>40755</v>
      </c>
      <c r="I38" s="282" t="s">
        <v>486</v>
      </c>
      <c r="J38" s="482"/>
    </row>
    <row r="39" spans="1:10" hidden="1">
      <c r="A39" s="282" t="s">
        <v>477</v>
      </c>
      <c r="E39" s="282" t="s">
        <v>693</v>
      </c>
      <c r="G39" s="479"/>
      <c r="H39" s="486">
        <f>ROUND(H38*3.6/$F$4/$H$4/1000,2)</f>
        <v>3.37</v>
      </c>
      <c r="I39" s="282" t="s">
        <v>694</v>
      </c>
      <c r="J39" s="482"/>
    </row>
    <row r="40" spans="1:10" hidden="1">
      <c r="A40" s="282" t="s">
        <v>477</v>
      </c>
      <c r="D40" s="282" t="s">
        <v>247</v>
      </c>
      <c r="E40" s="282" t="s">
        <v>280</v>
      </c>
      <c r="G40" s="282" t="s">
        <v>281</v>
      </c>
      <c r="H40" s="481">
        <f>F114</f>
        <v>1.8</v>
      </c>
      <c r="I40" s="282" t="s">
        <v>272</v>
      </c>
    </row>
    <row r="41" spans="1:10" hidden="1">
      <c r="A41" s="282" t="s">
        <v>477</v>
      </c>
      <c r="E41" s="282" t="s">
        <v>695</v>
      </c>
      <c r="G41" s="479"/>
      <c r="H41" s="484">
        <f>H37^1</f>
        <v>0.3</v>
      </c>
      <c r="I41" s="282" t="s">
        <v>696</v>
      </c>
      <c r="J41" s="482"/>
    </row>
    <row r="42" spans="1:10" hidden="1">
      <c r="A42" s="282" t="s">
        <v>477</v>
      </c>
      <c r="E42" s="282" t="s">
        <v>697</v>
      </c>
      <c r="G42" s="479"/>
      <c r="H42" s="485">
        <f>H40*H34*H35*H36*H41</f>
        <v>772.19999999999993</v>
      </c>
      <c r="I42" s="282" t="s">
        <v>486</v>
      </c>
      <c r="J42" s="482"/>
    </row>
    <row r="43" spans="1:10" hidden="1">
      <c r="A43" s="282" t="s">
        <v>477</v>
      </c>
      <c r="C43" s="282" t="s">
        <v>244</v>
      </c>
      <c r="E43" s="282" t="s">
        <v>278</v>
      </c>
      <c r="G43" s="282" t="s">
        <v>279</v>
      </c>
      <c r="H43" s="481">
        <f>F111</f>
        <v>85</v>
      </c>
      <c r="I43" s="282" t="s">
        <v>277</v>
      </c>
      <c r="J43" s="482"/>
    </row>
    <row r="44" spans="1:10" hidden="1">
      <c r="A44" s="282" t="s">
        <v>477</v>
      </c>
      <c r="E44" s="282" t="s">
        <v>479</v>
      </c>
      <c r="G44" s="479"/>
      <c r="H44" s="282">
        <v>10</v>
      </c>
      <c r="I44" s="282" t="s">
        <v>480</v>
      </c>
      <c r="J44" s="482"/>
    </row>
    <row r="45" spans="1:10" hidden="1">
      <c r="A45" s="282" t="s">
        <v>477</v>
      </c>
      <c r="G45" s="479"/>
      <c r="H45" s="282">
        <v>22</v>
      </c>
      <c r="I45" s="282" t="s">
        <v>481</v>
      </c>
      <c r="J45" s="482"/>
    </row>
    <row r="46" spans="1:10" hidden="1">
      <c r="A46" s="282" t="s">
        <v>477</v>
      </c>
      <c r="G46" s="479"/>
      <c r="H46" s="282">
        <v>4.5</v>
      </c>
      <c r="I46" s="282" t="s">
        <v>482</v>
      </c>
      <c r="J46" s="482" t="s">
        <v>487</v>
      </c>
    </row>
    <row r="47" spans="1:10" hidden="1">
      <c r="A47" s="282" t="s">
        <v>477</v>
      </c>
      <c r="E47" s="282" t="s">
        <v>484</v>
      </c>
      <c r="G47" s="479"/>
      <c r="H47" s="484">
        <v>0.3</v>
      </c>
      <c r="I47" s="282" t="s">
        <v>696</v>
      </c>
      <c r="J47" s="482"/>
    </row>
    <row r="48" spans="1:10" hidden="1">
      <c r="A48" s="282" t="s">
        <v>477</v>
      </c>
      <c r="E48" s="282" t="s">
        <v>485</v>
      </c>
      <c r="G48" s="479"/>
      <c r="H48" s="485">
        <f>H43*H44*H45*H46*H47</f>
        <v>25245</v>
      </c>
      <c r="I48" s="282" t="s">
        <v>486</v>
      </c>
      <c r="J48" s="482"/>
    </row>
    <row r="49" spans="1:10" hidden="1">
      <c r="A49" s="282" t="s">
        <v>477</v>
      </c>
      <c r="E49" s="282" t="s">
        <v>693</v>
      </c>
      <c r="G49" s="479"/>
      <c r="H49" s="487">
        <f>ROUND(H48*3.6/$F$4/$H$4/1000,1)</f>
        <v>2.1</v>
      </c>
      <c r="I49" s="282" t="s">
        <v>694</v>
      </c>
      <c r="J49" s="482"/>
    </row>
    <row r="50" spans="1:10" hidden="1">
      <c r="A50" s="282" t="s">
        <v>477</v>
      </c>
      <c r="D50" s="282" t="s">
        <v>247</v>
      </c>
      <c r="E50" s="282" t="s">
        <v>280</v>
      </c>
      <c r="G50" s="282" t="s">
        <v>283</v>
      </c>
      <c r="H50" s="487">
        <f>F115</f>
        <v>1.7</v>
      </c>
      <c r="I50" s="282" t="s">
        <v>272</v>
      </c>
      <c r="J50" s="482"/>
    </row>
    <row r="51" spans="1:10" hidden="1">
      <c r="A51" s="282" t="s">
        <v>477</v>
      </c>
      <c r="E51" s="282" t="s">
        <v>695</v>
      </c>
      <c r="G51" s="479"/>
      <c r="H51" s="484">
        <f>H47^1</f>
        <v>0.3</v>
      </c>
      <c r="J51" s="482"/>
    </row>
    <row r="52" spans="1:10" hidden="1">
      <c r="A52" s="282" t="s">
        <v>477</v>
      </c>
      <c r="E52" s="282" t="s">
        <v>697</v>
      </c>
      <c r="G52" s="479"/>
      <c r="H52" s="485">
        <f>H50*H44*H45*H46*H51</f>
        <v>504.9</v>
      </c>
      <c r="I52" s="282" t="s">
        <v>486</v>
      </c>
      <c r="J52" s="482"/>
    </row>
    <row r="53" spans="1:10" hidden="1">
      <c r="A53" s="282" t="s">
        <v>477</v>
      </c>
      <c r="B53" s="479" t="s">
        <v>219</v>
      </c>
      <c r="C53" s="282" t="s">
        <v>220</v>
      </c>
      <c r="G53" s="479"/>
      <c r="H53" s="487"/>
      <c r="J53" s="482"/>
    </row>
    <row r="54" spans="1:10" hidden="1">
      <c r="A54" s="282" t="s">
        <v>477</v>
      </c>
      <c r="C54" s="282" t="s">
        <v>241</v>
      </c>
      <c r="D54" s="282" t="s">
        <v>240</v>
      </c>
      <c r="E54" s="282" t="s">
        <v>275</v>
      </c>
      <c r="G54" s="282" t="s">
        <v>276</v>
      </c>
      <c r="H54" s="481">
        <f>H112</f>
        <v>83</v>
      </c>
      <c r="I54" s="282" t="s">
        <v>287</v>
      </c>
    </row>
    <row r="55" spans="1:10" hidden="1">
      <c r="A55" s="282" t="s">
        <v>477</v>
      </c>
      <c r="E55" s="282" t="s">
        <v>479</v>
      </c>
      <c r="G55" s="479"/>
      <c r="H55" s="483">
        <v>10</v>
      </c>
      <c r="I55" s="282" t="s">
        <v>480</v>
      </c>
      <c r="J55" s="482"/>
    </row>
    <row r="56" spans="1:10" hidden="1">
      <c r="A56" s="282" t="s">
        <v>477</v>
      </c>
      <c r="G56" s="479"/>
      <c r="H56" s="282">
        <v>22</v>
      </c>
      <c r="I56" s="282" t="s">
        <v>481</v>
      </c>
      <c r="J56" s="482"/>
    </row>
    <row r="57" spans="1:10" hidden="1">
      <c r="A57" s="282" t="s">
        <v>477</v>
      </c>
      <c r="G57" s="479"/>
      <c r="H57" s="282">
        <v>5</v>
      </c>
      <c r="I57" s="282" t="s">
        <v>482</v>
      </c>
      <c r="J57" s="482" t="s">
        <v>698</v>
      </c>
    </row>
    <row r="58" spans="1:10" hidden="1">
      <c r="A58" s="282" t="s">
        <v>477</v>
      </c>
      <c r="E58" s="282" t="s">
        <v>484</v>
      </c>
      <c r="G58" s="479"/>
      <c r="H58" s="484">
        <v>0.4</v>
      </c>
      <c r="J58" s="482"/>
    </row>
    <row r="59" spans="1:10" hidden="1">
      <c r="A59" s="282" t="s">
        <v>477</v>
      </c>
      <c r="E59" s="282" t="s">
        <v>693</v>
      </c>
      <c r="G59" s="479"/>
      <c r="H59" s="485">
        <f>ROUND(H54*H55*H56*H57*H58/1000,0)</f>
        <v>37</v>
      </c>
      <c r="I59" s="282" t="s">
        <v>699</v>
      </c>
      <c r="J59" s="482"/>
    </row>
    <row r="60" spans="1:10" hidden="1">
      <c r="A60" s="282" t="s">
        <v>477</v>
      </c>
      <c r="D60" s="282" t="s">
        <v>247</v>
      </c>
      <c r="E60" s="282" t="s">
        <v>288</v>
      </c>
      <c r="H60" s="282">
        <f>H117</f>
        <v>7.5</v>
      </c>
      <c r="I60" s="478" t="s">
        <v>272</v>
      </c>
    </row>
    <row r="61" spans="1:10" hidden="1">
      <c r="A61" s="282" t="s">
        <v>477</v>
      </c>
      <c r="E61" s="282" t="s">
        <v>290</v>
      </c>
      <c r="H61" s="282">
        <f>H118</f>
        <v>22</v>
      </c>
      <c r="I61" s="478" t="s">
        <v>272</v>
      </c>
    </row>
    <row r="62" spans="1:10" hidden="1">
      <c r="A62" s="282" t="s">
        <v>477</v>
      </c>
      <c r="E62" s="282" t="s">
        <v>292</v>
      </c>
      <c r="H62" s="282">
        <f>H119</f>
        <v>15</v>
      </c>
      <c r="I62" s="478" t="s">
        <v>272</v>
      </c>
    </row>
    <row r="63" spans="1:10" hidden="1">
      <c r="A63" s="282" t="s">
        <v>477</v>
      </c>
      <c r="E63" s="282" t="s">
        <v>498</v>
      </c>
      <c r="H63" s="481">
        <f>SUM(H60:H62)</f>
        <v>44.5</v>
      </c>
      <c r="I63" s="478" t="s">
        <v>272</v>
      </c>
    </row>
    <row r="64" spans="1:10" hidden="1">
      <c r="A64" s="282" t="s">
        <v>477</v>
      </c>
      <c r="E64" s="282" t="s">
        <v>695</v>
      </c>
      <c r="G64" s="479"/>
      <c r="H64" s="484">
        <f>H58^0.6</f>
        <v>0.5770799623628855</v>
      </c>
      <c r="J64" s="482"/>
    </row>
    <row r="65" spans="1:10" hidden="1">
      <c r="A65" s="282" t="s">
        <v>477</v>
      </c>
      <c r="E65" s="282" t="s">
        <v>697</v>
      </c>
      <c r="G65" s="479"/>
      <c r="H65" s="487">
        <f>ROUND(H63*H55*H56*H57*H64/1000,1)</f>
        <v>28.2</v>
      </c>
      <c r="I65" s="282" t="s">
        <v>700</v>
      </c>
      <c r="J65" s="482"/>
    </row>
    <row r="66" spans="1:10" hidden="1">
      <c r="A66" s="282" t="s">
        <v>477</v>
      </c>
      <c r="C66" s="282" t="s">
        <v>244</v>
      </c>
      <c r="E66" s="282" t="s">
        <v>278</v>
      </c>
      <c r="G66" s="282" t="s">
        <v>279</v>
      </c>
      <c r="H66" s="481">
        <f>H113</f>
        <v>83</v>
      </c>
      <c r="I66" s="282" t="s">
        <v>287</v>
      </c>
    </row>
    <row r="67" spans="1:10" hidden="1">
      <c r="A67" s="282" t="s">
        <v>477</v>
      </c>
      <c r="E67" s="282" t="s">
        <v>479</v>
      </c>
      <c r="G67" s="479"/>
      <c r="H67" s="282">
        <v>10</v>
      </c>
      <c r="I67" s="282" t="s">
        <v>480</v>
      </c>
      <c r="J67" s="482"/>
    </row>
    <row r="68" spans="1:10" hidden="1">
      <c r="A68" s="282" t="s">
        <v>477</v>
      </c>
      <c r="G68" s="479"/>
      <c r="H68" s="282">
        <v>22</v>
      </c>
      <c r="I68" s="282" t="s">
        <v>481</v>
      </c>
      <c r="J68" s="482"/>
    </row>
    <row r="69" spans="1:10" hidden="1">
      <c r="A69" s="282" t="s">
        <v>477</v>
      </c>
      <c r="G69" s="479"/>
      <c r="H69" s="282">
        <v>4</v>
      </c>
      <c r="I69" s="282" t="s">
        <v>482</v>
      </c>
      <c r="J69" s="482" t="s">
        <v>701</v>
      </c>
    </row>
    <row r="70" spans="1:10" hidden="1">
      <c r="A70" s="282" t="s">
        <v>477</v>
      </c>
      <c r="E70" s="282" t="s">
        <v>484</v>
      </c>
      <c r="G70" s="479"/>
      <c r="H70" s="484">
        <v>0.4</v>
      </c>
      <c r="J70" s="482"/>
    </row>
    <row r="71" spans="1:10" hidden="1">
      <c r="A71" s="282" t="s">
        <v>477</v>
      </c>
      <c r="E71" s="282" t="s">
        <v>693</v>
      </c>
      <c r="G71" s="479"/>
      <c r="H71" s="485">
        <f>ROUND(H66*H67*H68*H69*H70/1000,0)</f>
        <v>29</v>
      </c>
      <c r="I71" s="282" t="s">
        <v>699</v>
      </c>
      <c r="J71" s="482"/>
    </row>
    <row r="72" spans="1:10" hidden="1">
      <c r="A72" s="282" t="s">
        <v>477</v>
      </c>
      <c r="D72" s="282" t="s">
        <v>247</v>
      </c>
      <c r="E72" s="282" t="s">
        <v>292</v>
      </c>
      <c r="H72" s="282">
        <f>H119</f>
        <v>15</v>
      </c>
      <c r="I72" s="478" t="s">
        <v>272</v>
      </c>
      <c r="J72" s="482"/>
    </row>
    <row r="73" spans="1:10" hidden="1">
      <c r="A73" s="282" t="s">
        <v>477</v>
      </c>
      <c r="E73" s="282" t="s">
        <v>695</v>
      </c>
      <c r="G73" s="479"/>
      <c r="H73" s="484">
        <f>H70^0.6</f>
        <v>0.5770799623628855</v>
      </c>
      <c r="J73" s="482"/>
    </row>
    <row r="74" spans="1:10" hidden="1">
      <c r="A74" s="282" t="s">
        <v>477</v>
      </c>
      <c r="E74" s="282" t="s">
        <v>697</v>
      </c>
      <c r="G74" s="479"/>
      <c r="H74" s="487">
        <f>ROUND(H72*H67*H68*H69*H73/1000,1)</f>
        <v>7.6</v>
      </c>
      <c r="I74" s="282" t="s">
        <v>700</v>
      </c>
      <c r="J74" s="482"/>
    </row>
    <row r="75" spans="1:10" hidden="1">
      <c r="A75" s="282" t="s">
        <v>477</v>
      </c>
      <c r="B75" s="479" t="s">
        <v>221</v>
      </c>
      <c r="C75" s="282" t="s">
        <v>702</v>
      </c>
      <c r="G75" s="479"/>
      <c r="H75" s="487"/>
      <c r="J75" s="482"/>
    </row>
    <row r="76" spans="1:10" hidden="1">
      <c r="A76" s="282" t="s">
        <v>477</v>
      </c>
      <c r="C76" s="282" t="s">
        <v>244</v>
      </c>
      <c r="E76" s="282" t="s">
        <v>278</v>
      </c>
      <c r="G76" s="282" t="s">
        <v>279</v>
      </c>
      <c r="H76" s="485">
        <f>I113</f>
        <v>110</v>
      </c>
      <c r="I76" s="282" t="s">
        <v>287</v>
      </c>
    </row>
    <row r="77" spans="1:10" hidden="1">
      <c r="A77" s="282" t="s">
        <v>477</v>
      </c>
      <c r="E77" s="282" t="s">
        <v>479</v>
      </c>
      <c r="G77" s="479"/>
      <c r="H77" s="282">
        <v>10</v>
      </c>
      <c r="I77" s="282" t="s">
        <v>480</v>
      </c>
      <c r="J77" s="482"/>
    </row>
    <row r="78" spans="1:10" hidden="1">
      <c r="A78" s="282" t="s">
        <v>477</v>
      </c>
      <c r="G78" s="479"/>
      <c r="H78" s="282">
        <v>22</v>
      </c>
      <c r="I78" s="282" t="s">
        <v>481</v>
      </c>
      <c r="J78" s="482"/>
    </row>
    <row r="79" spans="1:10" hidden="1">
      <c r="A79" s="282" t="s">
        <v>477</v>
      </c>
      <c r="G79" s="479"/>
      <c r="H79" s="282">
        <v>4</v>
      </c>
      <c r="I79" s="282" t="s">
        <v>482</v>
      </c>
      <c r="J79" s="482" t="s">
        <v>701</v>
      </c>
    </row>
    <row r="80" spans="1:10" hidden="1">
      <c r="A80" s="282" t="s">
        <v>477</v>
      </c>
      <c r="E80" s="282" t="s">
        <v>484</v>
      </c>
      <c r="G80" s="479"/>
      <c r="H80" s="484">
        <v>0.4</v>
      </c>
      <c r="J80" s="482"/>
    </row>
    <row r="81" spans="1:10" hidden="1">
      <c r="A81" s="282" t="s">
        <v>477</v>
      </c>
      <c r="E81" s="282" t="s">
        <v>693</v>
      </c>
      <c r="G81" s="479"/>
      <c r="H81" s="485">
        <f>ROUND(H76*H77*H78*H79*H80/1000,0)</f>
        <v>39</v>
      </c>
      <c r="I81" s="282" t="s">
        <v>699</v>
      </c>
      <c r="J81" s="482"/>
    </row>
    <row r="82" spans="1:10" hidden="1">
      <c r="A82" s="282" t="s">
        <v>477</v>
      </c>
      <c r="D82" s="282" t="s">
        <v>247</v>
      </c>
      <c r="E82" s="282" t="s">
        <v>703</v>
      </c>
      <c r="H82" s="282">
        <f>I116</f>
        <v>5.5</v>
      </c>
      <c r="I82" s="478" t="s">
        <v>272</v>
      </c>
    </row>
    <row r="83" spans="1:10" hidden="1">
      <c r="A83" s="282" t="s">
        <v>477</v>
      </c>
      <c r="E83" s="282" t="s">
        <v>292</v>
      </c>
      <c r="H83" s="282">
        <f>I119</f>
        <v>15</v>
      </c>
      <c r="I83" s="478" t="s">
        <v>272</v>
      </c>
    </row>
    <row r="84" spans="1:10" hidden="1">
      <c r="A84" s="282" t="s">
        <v>477</v>
      </c>
      <c r="E84" s="282" t="s">
        <v>498</v>
      </c>
      <c r="H84" s="282">
        <f>H82+H83</f>
        <v>20.5</v>
      </c>
      <c r="I84" s="478" t="s">
        <v>272</v>
      </c>
    </row>
    <row r="85" spans="1:10" hidden="1">
      <c r="A85" s="282" t="s">
        <v>477</v>
      </c>
      <c r="E85" s="282" t="s">
        <v>695</v>
      </c>
      <c r="G85" s="479"/>
      <c r="H85" s="484">
        <f>H80^0.6</f>
        <v>0.5770799623628855</v>
      </c>
      <c r="J85" s="482"/>
    </row>
    <row r="86" spans="1:10" hidden="1">
      <c r="A86" s="282" t="s">
        <v>477</v>
      </c>
      <c r="E86" s="282" t="s">
        <v>697</v>
      </c>
      <c r="G86" s="479"/>
      <c r="H86" s="487">
        <f>ROUND(H84*H77*H78*H79*H85/1000,1)</f>
        <v>10.4</v>
      </c>
      <c r="I86" s="282" t="s">
        <v>700</v>
      </c>
      <c r="J86" s="482"/>
    </row>
    <row r="87" spans="1:10">
      <c r="B87" s="282" t="s">
        <v>704</v>
      </c>
      <c r="G87" s="479"/>
      <c r="H87" s="487"/>
      <c r="J87" s="482"/>
    </row>
    <row r="88" spans="1:10" ht="37.5">
      <c r="B88" s="1365" t="s">
        <v>705</v>
      </c>
      <c r="C88" s="1367"/>
      <c r="D88" s="1366"/>
      <c r="E88" s="477" t="s">
        <v>259</v>
      </c>
      <c r="F88" s="477" t="s">
        <v>343</v>
      </c>
      <c r="G88" s="488" t="s">
        <v>256</v>
      </c>
      <c r="H88" s="489" t="s">
        <v>706</v>
      </c>
      <c r="I88" s="488" t="s">
        <v>707</v>
      </c>
      <c r="J88" s="482"/>
    </row>
    <row r="89" spans="1:10" ht="37.5">
      <c r="B89" s="1365"/>
      <c r="C89" s="1367"/>
      <c r="D89" s="1366"/>
      <c r="E89" s="477"/>
      <c r="F89" s="477" t="s">
        <v>225</v>
      </c>
      <c r="G89" s="488" t="s">
        <v>202</v>
      </c>
      <c r="H89" s="489" t="s">
        <v>200</v>
      </c>
      <c r="I89" s="489" t="s">
        <v>200</v>
      </c>
      <c r="J89" s="482"/>
    </row>
    <row r="90" spans="1:10">
      <c r="B90" s="1362" t="s">
        <v>262</v>
      </c>
      <c r="C90" s="1363"/>
      <c r="D90" s="1364"/>
      <c r="E90" s="477" t="s">
        <v>694</v>
      </c>
      <c r="F90" s="477" t="s">
        <v>242</v>
      </c>
      <c r="G90" s="490">
        <f>H39</f>
        <v>3.37</v>
      </c>
      <c r="H90" s="491">
        <f>H59</f>
        <v>37</v>
      </c>
      <c r="I90" s="467"/>
      <c r="J90" s="482"/>
    </row>
    <row r="91" spans="1:10">
      <c r="B91" s="1362" t="s">
        <v>264</v>
      </c>
      <c r="C91" s="1363"/>
      <c r="D91" s="1364"/>
      <c r="E91" s="477" t="s">
        <v>694</v>
      </c>
      <c r="F91" s="477" t="s">
        <v>245</v>
      </c>
      <c r="G91" s="490">
        <f>H49</f>
        <v>2.1</v>
      </c>
      <c r="H91" s="491">
        <f>H71</f>
        <v>29</v>
      </c>
      <c r="I91" s="491">
        <f>H81</f>
        <v>39</v>
      </c>
      <c r="J91" s="482"/>
    </row>
    <row r="92" spans="1:10">
      <c r="B92" s="1362" t="s">
        <v>265</v>
      </c>
      <c r="C92" s="1363"/>
      <c r="D92" s="1364"/>
      <c r="E92" s="477" t="s">
        <v>249</v>
      </c>
      <c r="F92" s="477" t="s">
        <v>248</v>
      </c>
      <c r="G92" s="492">
        <f>ROUND(H42/1000,1)</f>
        <v>0.8</v>
      </c>
      <c r="H92" s="490">
        <f>H65</f>
        <v>28.2</v>
      </c>
      <c r="I92" s="467"/>
      <c r="J92" s="482"/>
    </row>
    <row r="93" spans="1:10">
      <c r="B93" s="1362" t="s">
        <v>266</v>
      </c>
      <c r="C93" s="1363"/>
      <c r="D93" s="1364"/>
      <c r="E93" s="477" t="s">
        <v>249</v>
      </c>
      <c r="F93" s="477" t="s">
        <v>252</v>
      </c>
      <c r="G93" s="492">
        <f>ROUND(H52/1000,1)</f>
        <v>0.5</v>
      </c>
      <c r="H93" s="490">
        <f>H74</f>
        <v>7.6</v>
      </c>
      <c r="I93" s="490">
        <f>H86</f>
        <v>10.4</v>
      </c>
      <c r="J93" s="482"/>
    </row>
    <row r="94" spans="1:10">
      <c r="G94" s="479"/>
      <c r="H94" s="487"/>
      <c r="J94" s="482"/>
    </row>
    <row r="95" spans="1:10">
      <c r="B95" s="282" t="s">
        <v>254</v>
      </c>
    </row>
    <row r="96" spans="1:10">
      <c r="B96" s="282" t="s">
        <v>708</v>
      </c>
    </row>
    <row r="97" spans="2:9" ht="37.5">
      <c r="B97" s="1368" t="s">
        <v>255</v>
      </c>
      <c r="C97" s="1368"/>
      <c r="D97" s="1368"/>
      <c r="E97" s="477" t="s">
        <v>259</v>
      </c>
      <c r="F97" s="488" t="s">
        <v>256</v>
      </c>
      <c r="G97" s="489" t="s">
        <v>706</v>
      </c>
      <c r="H97" s="488" t="s">
        <v>707</v>
      </c>
    </row>
    <row r="98" spans="2:9">
      <c r="B98" s="1362" t="s">
        <v>260</v>
      </c>
      <c r="C98" s="1363"/>
      <c r="D98" s="1364"/>
      <c r="E98" s="467"/>
      <c r="F98" s="477" t="s">
        <v>261</v>
      </c>
      <c r="G98" s="477" t="s">
        <v>200</v>
      </c>
      <c r="H98" s="477" t="s">
        <v>200</v>
      </c>
    </row>
    <row r="99" spans="2:9">
      <c r="B99" s="1362" t="s">
        <v>262</v>
      </c>
      <c r="C99" s="1363"/>
      <c r="D99" s="1364"/>
      <c r="E99" s="477" t="s">
        <v>263</v>
      </c>
      <c r="F99" s="491">
        <f>G90*$H$4*$F$4</f>
        <v>146.64554999999999</v>
      </c>
      <c r="G99" s="491">
        <f>H90*$C$4</f>
        <v>1439.3</v>
      </c>
      <c r="H99" s="491"/>
    </row>
    <row r="100" spans="2:9">
      <c r="B100" s="1362" t="s">
        <v>264</v>
      </c>
      <c r="C100" s="1363"/>
      <c r="D100" s="1364"/>
      <c r="E100" s="477" t="s">
        <v>263</v>
      </c>
      <c r="F100" s="491">
        <f>G91*$H$4*$F$4</f>
        <v>91.381500000000003</v>
      </c>
      <c r="G100" s="491">
        <f>H91*$C$4</f>
        <v>1128.0999999999999</v>
      </c>
      <c r="H100" s="491">
        <f>I91*C4</f>
        <v>1517.1</v>
      </c>
    </row>
    <row r="101" spans="2:9">
      <c r="B101" s="1362" t="s">
        <v>265</v>
      </c>
      <c r="C101" s="1363"/>
      <c r="D101" s="1364"/>
      <c r="E101" s="477" t="s">
        <v>251</v>
      </c>
      <c r="F101" s="492">
        <f>G92</f>
        <v>0.8</v>
      </c>
      <c r="G101" s="492">
        <f>H92</f>
        <v>28.2</v>
      </c>
      <c r="H101" s="490"/>
    </row>
    <row r="102" spans="2:9">
      <c r="B102" s="1362" t="s">
        <v>266</v>
      </c>
      <c r="C102" s="1363"/>
      <c r="D102" s="1364"/>
      <c r="E102" s="477" t="s">
        <v>251</v>
      </c>
      <c r="F102" s="492">
        <f>G93</f>
        <v>0.5</v>
      </c>
      <c r="G102" s="492">
        <f>H93</f>
        <v>7.6</v>
      </c>
      <c r="H102" s="490">
        <f>I93</f>
        <v>10.4</v>
      </c>
    </row>
    <row r="103" spans="2:9">
      <c r="C103" s="478"/>
      <c r="D103" s="478"/>
      <c r="E103" s="478"/>
      <c r="F103" s="493"/>
      <c r="G103" s="493"/>
      <c r="H103" s="494"/>
    </row>
    <row r="104" spans="2:9">
      <c r="B104" s="282" t="s">
        <v>267</v>
      </c>
      <c r="C104" s="282" t="s">
        <v>709</v>
      </c>
    </row>
    <row r="105" spans="2:9">
      <c r="B105" s="282" t="s">
        <v>710</v>
      </c>
    </row>
    <row r="106" spans="2:9" ht="37.5">
      <c r="B106" s="467" t="s">
        <v>533</v>
      </c>
      <c r="C106" s="467"/>
      <c r="D106" s="467"/>
      <c r="E106" s="467"/>
      <c r="F106" s="488" t="s">
        <v>711</v>
      </c>
      <c r="G106" s="488" t="s">
        <v>712</v>
      </c>
      <c r="H106" s="489" t="s">
        <v>706</v>
      </c>
      <c r="I106" s="488" t="s">
        <v>707</v>
      </c>
    </row>
    <row r="107" spans="2:9">
      <c r="B107" s="1362" t="s">
        <v>260</v>
      </c>
      <c r="C107" s="1363"/>
      <c r="D107" s="1364"/>
      <c r="E107" s="467"/>
      <c r="F107" s="477" t="s">
        <v>261</v>
      </c>
      <c r="G107" s="477" t="s">
        <v>261</v>
      </c>
      <c r="H107" s="477" t="s">
        <v>200</v>
      </c>
      <c r="I107" s="477" t="s">
        <v>200</v>
      </c>
    </row>
    <row r="108" spans="2:9">
      <c r="B108" s="467" t="s">
        <v>269</v>
      </c>
      <c r="C108" s="467"/>
      <c r="D108" s="467" t="s">
        <v>270</v>
      </c>
      <c r="E108" s="467" t="s">
        <v>272</v>
      </c>
      <c r="F108" s="467">
        <v>100</v>
      </c>
      <c r="G108" s="467">
        <v>100</v>
      </c>
      <c r="H108" s="491">
        <v>1000</v>
      </c>
      <c r="I108" s="491"/>
    </row>
    <row r="109" spans="2:9">
      <c r="B109" s="467" t="s">
        <v>273</v>
      </c>
      <c r="C109" s="467"/>
      <c r="D109" s="467" t="s">
        <v>274</v>
      </c>
      <c r="E109" s="467" t="s">
        <v>272</v>
      </c>
      <c r="F109" s="467">
        <v>100</v>
      </c>
      <c r="G109" s="477" t="s">
        <v>539</v>
      </c>
      <c r="H109" s="467">
        <v>800</v>
      </c>
      <c r="I109" s="491">
        <v>1000</v>
      </c>
    </row>
    <row r="110" spans="2:9">
      <c r="B110" s="467" t="s">
        <v>275</v>
      </c>
      <c r="C110" s="467"/>
      <c r="D110" s="467" t="s">
        <v>276</v>
      </c>
      <c r="E110" s="467" t="s">
        <v>272</v>
      </c>
      <c r="F110" s="469">
        <v>95</v>
      </c>
      <c r="G110" s="477" t="s">
        <v>348</v>
      </c>
      <c r="H110" s="467"/>
      <c r="I110" s="467"/>
    </row>
    <row r="111" spans="2:9">
      <c r="B111" s="467" t="s">
        <v>278</v>
      </c>
      <c r="C111" s="467"/>
      <c r="D111" s="467" t="s">
        <v>279</v>
      </c>
      <c r="E111" s="467" t="s">
        <v>272</v>
      </c>
      <c r="F111" s="469">
        <v>85</v>
      </c>
      <c r="G111" s="467"/>
      <c r="H111" s="467"/>
      <c r="I111" s="467"/>
    </row>
    <row r="112" spans="2:9">
      <c r="B112" s="467" t="s">
        <v>275</v>
      </c>
      <c r="C112" s="467"/>
      <c r="D112" s="467" t="s">
        <v>276</v>
      </c>
      <c r="E112" s="467" t="s">
        <v>713</v>
      </c>
      <c r="F112" s="469"/>
      <c r="G112" s="467"/>
      <c r="H112" s="469">
        <v>83</v>
      </c>
      <c r="I112" s="491"/>
    </row>
    <row r="113" spans="2:9">
      <c r="B113" s="467" t="s">
        <v>278</v>
      </c>
      <c r="C113" s="467"/>
      <c r="D113" s="467" t="s">
        <v>279</v>
      </c>
      <c r="E113" s="467" t="s">
        <v>713</v>
      </c>
      <c r="F113" s="469"/>
      <c r="G113" s="467"/>
      <c r="H113" s="469">
        <v>83</v>
      </c>
      <c r="I113" s="491">
        <v>110</v>
      </c>
    </row>
    <row r="114" spans="2:9">
      <c r="B114" s="467" t="s">
        <v>280</v>
      </c>
      <c r="C114" s="467"/>
      <c r="D114" s="467" t="s">
        <v>281</v>
      </c>
      <c r="E114" s="467" t="s">
        <v>272</v>
      </c>
      <c r="F114" s="469">
        <v>1.8</v>
      </c>
      <c r="G114" s="467"/>
      <c r="H114" s="491"/>
      <c r="I114" s="491"/>
    </row>
    <row r="115" spans="2:9">
      <c r="B115" s="467" t="s">
        <v>282</v>
      </c>
      <c r="C115" s="467"/>
      <c r="D115" s="467" t="s">
        <v>283</v>
      </c>
      <c r="E115" s="467" t="s">
        <v>272</v>
      </c>
      <c r="F115" s="469">
        <v>1.7</v>
      </c>
      <c r="G115" s="467"/>
      <c r="H115" s="491"/>
      <c r="I115" s="491"/>
    </row>
    <row r="116" spans="2:9">
      <c r="B116" s="467" t="s">
        <v>703</v>
      </c>
      <c r="C116" s="467"/>
      <c r="D116" s="467"/>
      <c r="E116" s="467" t="s">
        <v>272</v>
      </c>
      <c r="F116" s="469"/>
      <c r="G116" s="467"/>
      <c r="H116" s="491"/>
      <c r="I116" s="467">
        <v>5.5</v>
      </c>
    </row>
    <row r="117" spans="2:9">
      <c r="B117" s="467" t="s">
        <v>288</v>
      </c>
      <c r="C117" s="467"/>
      <c r="D117" s="467"/>
      <c r="E117" s="495" t="s">
        <v>289</v>
      </c>
      <c r="F117" s="467"/>
      <c r="G117" s="467"/>
      <c r="H117" s="467">
        <v>7.5</v>
      </c>
      <c r="I117" s="496"/>
    </row>
    <row r="118" spans="2:9">
      <c r="B118" s="467" t="s">
        <v>290</v>
      </c>
      <c r="C118" s="467"/>
      <c r="D118" s="467"/>
      <c r="E118" s="495" t="s">
        <v>291</v>
      </c>
      <c r="F118" s="467"/>
      <c r="G118" s="467"/>
      <c r="H118" s="467">
        <v>22</v>
      </c>
      <c r="I118" s="497"/>
    </row>
    <row r="119" spans="2:9">
      <c r="B119" s="467" t="s">
        <v>292</v>
      </c>
      <c r="C119" s="467"/>
      <c r="D119" s="467"/>
      <c r="E119" s="495" t="s">
        <v>293</v>
      </c>
      <c r="F119" s="467"/>
      <c r="G119" s="467"/>
      <c r="H119" s="467">
        <v>15</v>
      </c>
      <c r="I119" s="467">
        <v>15</v>
      </c>
    </row>
    <row r="120" spans="2:9">
      <c r="B120" s="1362" t="s">
        <v>284</v>
      </c>
      <c r="C120" s="1364"/>
      <c r="D120" s="467" t="s">
        <v>285</v>
      </c>
      <c r="E120" s="467"/>
      <c r="F120" s="476"/>
      <c r="G120" s="467">
        <v>1.6</v>
      </c>
      <c r="H120" s="467"/>
      <c r="I120" s="467"/>
    </row>
    <row r="121" spans="2:9">
      <c r="C121" s="479" t="s">
        <v>295</v>
      </c>
      <c r="D121" s="478" t="s">
        <v>714</v>
      </c>
    </row>
    <row r="122" spans="2:9">
      <c r="D122" s="282" t="s">
        <v>715</v>
      </c>
    </row>
    <row r="123" spans="2:9">
      <c r="D123" s="282" t="s">
        <v>716</v>
      </c>
    </row>
    <row r="125" spans="2:9">
      <c r="B125" s="282" t="s">
        <v>297</v>
      </c>
      <c r="C125" s="282" t="s">
        <v>298</v>
      </c>
      <c r="E125" s="479" t="s">
        <v>217</v>
      </c>
      <c r="F125" s="282" t="s">
        <v>218</v>
      </c>
    </row>
    <row r="126" spans="2:9">
      <c r="E126" s="479" t="s">
        <v>219</v>
      </c>
      <c r="F126" s="282" t="s">
        <v>220</v>
      </c>
    </row>
    <row r="127" spans="2:9">
      <c r="E127" s="479" t="s">
        <v>221</v>
      </c>
      <c r="F127" s="282" t="s">
        <v>222</v>
      </c>
    </row>
    <row r="128" spans="2:9">
      <c r="E128" s="479" t="s">
        <v>299</v>
      </c>
      <c r="F128" s="282" t="s">
        <v>300</v>
      </c>
    </row>
    <row r="129" spans="2:14">
      <c r="E129" s="479" t="s">
        <v>301</v>
      </c>
      <c r="F129" s="282" t="s">
        <v>302</v>
      </c>
    </row>
    <row r="130" spans="2:14">
      <c r="E130" s="479" t="s">
        <v>303</v>
      </c>
      <c r="F130" s="282" t="s">
        <v>304</v>
      </c>
    </row>
    <row r="131" spans="2:14">
      <c r="E131" s="479" t="s">
        <v>305</v>
      </c>
      <c r="F131" s="282" t="s">
        <v>306</v>
      </c>
    </row>
    <row r="132" spans="2:14">
      <c r="B132" s="282" t="s">
        <v>307</v>
      </c>
      <c r="C132" s="282" t="s">
        <v>717</v>
      </c>
    </row>
    <row r="133" spans="2:14">
      <c r="B133" s="282" t="s">
        <v>718</v>
      </c>
    </row>
    <row r="134" spans="2:14" ht="37.5">
      <c r="B134" s="467" t="s">
        <v>719</v>
      </c>
      <c r="C134" s="467"/>
      <c r="D134" s="467"/>
      <c r="E134" s="467"/>
      <c r="F134" s="488" t="s">
        <v>720</v>
      </c>
      <c r="G134" s="488" t="s">
        <v>721</v>
      </c>
      <c r="H134" s="488" t="s">
        <v>706</v>
      </c>
      <c r="I134" s="498" t="s">
        <v>707</v>
      </c>
      <c r="J134" s="488" t="s">
        <v>722</v>
      </c>
      <c r="K134" s="488" t="s">
        <v>723</v>
      </c>
      <c r="L134" s="488" t="s">
        <v>724</v>
      </c>
      <c r="M134" s="488" t="s">
        <v>725</v>
      </c>
      <c r="N134" s="488" t="s">
        <v>726</v>
      </c>
    </row>
    <row r="135" spans="2:14">
      <c r="B135" s="1362" t="s">
        <v>260</v>
      </c>
      <c r="C135" s="1364"/>
      <c r="D135" s="467"/>
      <c r="E135" s="467"/>
      <c r="F135" s="477" t="s">
        <v>727</v>
      </c>
      <c r="G135" s="477" t="s">
        <v>727</v>
      </c>
      <c r="H135" s="477" t="s">
        <v>208</v>
      </c>
      <c r="I135" s="480" t="s">
        <v>212</v>
      </c>
      <c r="J135" s="477" t="s">
        <v>335</v>
      </c>
      <c r="K135" s="477" t="s">
        <v>335</v>
      </c>
      <c r="L135" s="477" t="s">
        <v>335</v>
      </c>
      <c r="M135" s="477" t="s">
        <v>335</v>
      </c>
      <c r="N135" s="477" t="s">
        <v>335</v>
      </c>
    </row>
    <row r="136" spans="2:14">
      <c r="B136" s="467" t="s">
        <v>269</v>
      </c>
      <c r="C136" s="467"/>
      <c r="D136" s="467" t="s">
        <v>308</v>
      </c>
      <c r="E136" s="467" t="s">
        <v>405</v>
      </c>
      <c r="F136" s="467">
        <v>100</v>
      </c>
      <c r="G136" s="467">
        <v>100</v>
      </c>
      <c r="H136" s="491">
        <v>1000</v>
      </c>
      <c r="I136" s="499"/>
      <c r="J136" s="467">
        <v>100</v>
      </c>
      <c r="K136" s="467">
        <v>100</v>
      </c>
      <c r="L136" s="491">
        <v>150</v>
      </c>
      <c r="M136" s="491">
        <v>150</v>
      </c>
      <c r="N136" s="491">
        <v>1000</v>
      </c>
    </row>
    <row r="137" spans="2:14">
      <c r="B137" s="467" t="s">
        <v>273</v>
      </c>
      <c r="C137" s="467"/>
      <c r="D137" s="467" t="s">
        <v>728</v>
      </c>
      <c r="E137" s="467" t="s">
        <v>405</v>
      </c>
      <c r="F137" s="467">
        <v>100</v>
      </c>
      <c r="G137" s="467" t="s">
        <v>539</v>
      </c>
      <c r="H137" s="467">
        <v>800</v>
      </c>
      <c r="I137" s="499">
        <v>1000</v>
      </c>
      <c r="J137" s="467">
        <v>100</v>
      </c>
      <c r="K137" s="467" t="s">
        <v>539</v>
      </c>
      <c r="L137" s="467">
        <v>170</v>
      </c>
      <c r="M137" s="467">
        <v>170</v>
      </c>
      <c r="N137" s="467"/>
    </row>
    <row r="138" spans="2:14">
      <c r="B138" s="467" t="s">
        <v>275</v>
      </c>
      <c r="C138" s="467"/>
      <c r="D138" s="467" t="s">
        <v>310</v>
      </c>
      <c r="E138" s="467" t="s">
        <v>405</v>
      </c>
      <c r="F138" s="467">
        <v>85</v>
      </c>
      <c r="G138" s="467" t="s">
        <v>729</v>
      </c>
      <c r="H138" s="467"/>
      <c r="I138" s="499"/>
      <c r="J138" s="467">
        <v>30</v>
      </c>
      <c r="K138" s="467" t="s">
        <v>729</v>
      </c>
      <c r="L138" s="467">
        <v>58</v>
      </c>
      <c r="M138" s="467">
        <v>33</v>
      </c>
      <c r="N138" s="467">
        <v>165</v>
      </c>
    </row>
    <row r="139" spans="2:14">
      <c r="B139" s="467" t="s">
        <v>278</v>
      </c>
      <c r="C139" s="467"/>
      <c r="D139" s="467" t="s">
        <v>311</v>
      </c>
      <c r="E139" s="467" t="s">
        <v>405</v>
      </c>
      <c r="F139" s="467">
        <v>80</v>
      </c>
      <c r="G139" s="467"/>
      <c r="H139" s="467"/>
      <c r="I139" s="499"/>
      <c r="J139" s="467">
        <v>27</v>
      </c>
      <c r="K139" s="467"/>
      <c r="L139" s="467">
        <v>52</v>
      </c>
      <c r="M139" s="467">
        <v>40</v>
      </c>
      <c r="N139" s="467"/>
    </row>
    <row r="140" spans="2:14">
      <c r="B140" s="467" t="s">
        <v>275</v>
      </c>
      <c r="C140" s="467"/>
      <c r="D140" s="467" t="s">
        <v>310</v>
      </c>
      <c r="E140" s="467" t="s">
        <v>730</v>
      </c>
      <c r="F140" s="467"/>
      <c r="G140" s="467"/>
      <c r="H140" s="500">
        <v>55</v>
      </c>
      <c r="I140" s="499"/>
      <c r="J140" s="467"/>
      <c r="K140" s="467"/>
      <c r="L140" s="467"/>
      <c r="M140" s="467"/>
      <c r="N140" s="467"/>
    </row>
    <row r="141" spans="2:14">
      <c r="B141" s="467" t="s">
        <v>278</v>
      </c>
      <c r="C141" s="467"/>
      <c r="D141" s="467" t="s">
        <v>311</v>
      </c>
      <c r="E141" s="467" t="s">
        <v>730</v>
      </c>
      <c r="F141" s="467"/>
      <c r="G141" s="467"/>
      <c r="H141" s="467">
        <v>62</v>
      </c>
      <c r="I141" s="501">
        <v>73</v>
      </c>
      <c r="J141" s="467"/>
      <c r="K141" s="467"/>
      <c r="L141" s="467"/>
      <c r="M141" s="467"/>
      <c r="N141" s="467"/>
    </row>
    <row r="142" spans="2:14">
      <c r="B142" s="467" t="s">
        <v>280</v>
      </c>
      <c r="C142" s="467"/>
      <c r="D142" s="467" t="s">
        <v>731</v>
      </c>
      <c r="E142" s="467" t="s">
        <v>405</v>
      </c>
      <c r="F142" s="469">
        <v>1.8</v>
      </c>
      <c r="G142" s="467"/>
      <c r="H142" s="467"/>
      <c r="I142" s="499"/>
      <c r="J142" s="467"/>
      <c r="K142" s="467"/>
      <c r="L142" s="467"/>
      <c r="M142" s="467"/>
      <c r="N142" s="467"/>
    </row>
    <row r="143" spans="2:14">
      <c r="B143" s="467" t="s">
        <v>282</v>
      </c>
      <c r="C143" s="467"/>
      <c r="D143" s="467" t="s">
        <v>732</v>
      </c>
      <c r="E143" s="467" t="s">
        <v>405</v>
      </c>
      <c r="F143" s="469">
        <v>1.7</v>
      </c>
      <c r="G143" s="467"/>
      <c r="H143" s="467"/>
      <c r="I143" s="499"/>
      <c r="J143" s="467"/>
      <c r="K143" s="467"/>
      <c r="L143" s="467"/>
      <c r="M143" s="467"/>
      <c r="N143" s="467"/>
    </row>
    <row r="144" spans="2:14">
      <c r="B144" s="467" t="s">
        <v>703</v>
      </c>
      <c r="C144" s="467"/>
      <c r="D144" s="467"/>
      <c r="E144" s="467" t="s">
        <v>405</v>
      </c>
      <c r="F144" s="467"/>
      <c r="G144" s="467"/>
      <c r="H144" s="467"/>
      <c r="I144" s="499">
        <v>5.5</v>
      </c>
      <c r="J144" s="467"/>
      <c r="K144" s="467"/>
      <c r="L144" s="467"/>
      <c r="M144" s="467"/>
      <c r="N144" s="467"/>
    </row>
    <row r="145" spans="1:14">
      <c r="B145" s="467" t="s">
        <v>288</v>
      </c>
      <c r="C145" s="467"/>
      <c r="D145" s="467"/>
      <c r="E145" s="467" t="s">
        <v>733</v>
      </c>
      <c r="F145" s="467"/>
      <c r="G145" s="467" t="s">
        <v>468</v>
      </c>
      <c r="H145" s="467">
        <v>7.5</v>
      </c>
      <c r="I145" s="499"/>
      <c r="J145" s="467"/>
      <c r="K145" s="467"/>
      <c r="L145" s="467"/>
      <c r="M145" s="497">
        <v>1.5</v>
      </c>
      <c r="N145" s="497">
        <v>5.5</v>
      </c>
    </row>
    <row r="146" spans="1:14">
      <c r="B146" s="467" t="s">
        <v>290</v>
      </c>
      <c r="C146" s="467"/>
      <c r="D146" s="467"/>
      <c r="E146" s="467" t="s">
        <v>317</v>
      </c>
      <c r="F146" s="467"/>
      <c r="G146" s="467"/>
      <c r="H146" s="467">
        <v>22</v>
      </c>
      <c r="I146" s="499"/>
      <c r="J146" s="467"/>
      <c r="K146" s="467"/>
      <c r="L146" s="467"/>
      <c r="M146" s="497">
        <v>3.7</v>
      </c>
      <c r="N146" s="497">
        <v>15</v>
      </c>
    </row>
    <row r="147" spans="1:14">
      <c r="B147" s="467" t="s">
        <v>292</v>
      </c>
      <c r="C147" s="467"/>
      <c r="D147" s="467"/>
      <c r="E147" s="467" t="s">
        <v>318</v>
      </c>
      <c r="F147" s="467"/>
      <c r="G147" s="467"/>
      <c r="H147" s="467">
        <v>15</v>
      </c>
      <c r="I147" s="499">
        <v>15</v>
      </c>
      <c r="J147" s="467"/>
      <c r="K147" s="467"/>
      <c r="L147" s="467">
        <v>15</v>
      </c>
      <c r="M147" s="467">
        <v>2.2000000000000002</v>
      </c>
      <c r="N147" s="467">
        <v>15</v>
      </c>
    </row>
    <row r="148" spans="1:14">
      <c r="B148" s="467" t="s">
        <v>326</v>
      </c>
      <c r="C148" s="467"/>
      <c r="D148" s="467"/>
      <c r="E148" s="467"/>
      <c r="F148" s="467"/>
      <c r="G148" s="467"/>
      <c r="H148" s="467"/>
      <c r="I148" s="499"/>
      <c r="J148" s="467"/>
      <c r="K148" s="467"/>
      <c r="L148" s="467"/>
      <c r="M148" s="502">
        <v>2.2000000000000002</v>
      </c>
      <c r="N148" s="467"/>
    </row>
    <row r="149" spans="1:14">
      <c r="B149" s="467" t="s">
        <v>734</v>
      </c>
      <c r="C149" s="467"/>
      <c r="D149" s="467" t="s">
        <v>314</v>
      </c>
      <c r="E149" s="467" t="s">
        <v>735</v>
      </c>
      <c r="F149" s="467"/>
      <c r="G149" s="467">
        <v>2.1</v>
      </c>
      <c r="H149" s="467"/>
      <c r="I149" s="499"/>
      <c r="J149" s="467"/>
      <c r="K149" s="467">
        <v>5.5</v>
      </c>
      <c r="L149" s="467"/>
      <c r="M149" s="467"/>
      <c r="N149" s="467"/>
    </row>
    <row r="150" spans="1:14">
      <c r="B150" s="467" t="s">
        <v>555</v>
      </c>
      <c r="C150" s="467"/>
      <c r="D150" s="467" t="s">
        <v>556</v>
      </c>
      <c r="E150" s="467" t="s">
        <v>736</v>
      </c>
      <c r="F150" s="467">
        <v>10</v>
      </c>
      <c r="G150" s="467">
        <v>10</v>
      </c>
      <c r="H150" s="467">
        <v>1</v>
      </c>
      <c r="I150" s="499">
        <v>1</v>
      </c>
      <c r="J150" s="467">
        <v>10</v>
      </c>
      <c r="K150" s="467">
        <v>10</v>
      </c>
      <c r="L150" s="467">
        <v>6</v>
      </c>
      <c r="M150" s="467">
        <v>6</v>
      </c>
      <c r="N150" s="467">
        <v>1</v>
      </c>
    </row>
    <row r="151" spans="1:14">
      <c r="A151" s="479"/>
      <c r="B151" s="479" t="s">
        <v>558</v>
      </c>
      <c r="C151" s="479" t="s">
        <v>494</v>
      </c>
      <c r="D151" s="479" t="s">
        <v>559</v>
      </c>
      <c r="E151" s="478" t="s">
        <v>560</v>
      </c>
    </row>
    <row r="152" spans="1:14">
      <c r="A152" s="479"/>
      <c r="D152" s="479" t="s">
        <v>561</v>
      </c>
      <c r="E152" s="478" t="s">
        <v>562</v>
      </c>
    </row>
    <row r="153" spans="1:14">
      <c r="A153" s="479"/>
      <c r="D153" s="479" t="s">
        <v>563</v>
      </c>
      <c r="E153" s="478" t="s">
        <v>737</v>
      </c>
    </row>
    <row r="154" spans="1:14">
      <c r="A154" s="479"/>
      <c r="B154" s="479" t="s">
        <v>565</v>
      </c>
      <c r="C154" s="483" t="s">
        <v>566</v>
      </c>
      <c r="D154" s="479"/>
      <c r="E154" s="478"/>
    </row>
    <row r="155" spans="1:14">
      <c r="A155" s="479"/>
      <c r="B155" s="503" t="s">
        <v>567</v>
      </c>
      <c r="C155" s="282" t="s">
        <v>568</v>
      </c>
      <c r="D155" s="479"/>
      <c r="E155" s="478"/>
    </row>
    <row r="156" spans="1:14">
      <c r="A156" s="479"/>
      <c r="B156" s="479"/>
      <c r="C156" s="282" t="s">
        <v>569</v>
      </c>
      <c r="D156" s="479"/>
      <c r="E156" s="478"/>
    </row>
    <row r="157" spans="1:14">
      <c r="A157" s="479"/>
      <c r="B157" s="479"/>
      <c r="C157" s="282" t="s">
        <v>570</v>
      </c>
      <c r="D157" s="479"/>
      <c r="E157" s="478"/>
    </row>
    <row r="159" spans="1:14">
      <c r="B159" s="282" t="s">
        <v>328</v>
      </c>
      <c r="C159" s="282" t="s">
        <v>329</v>
      </c>
      <c r="E159" s="479"/>
    </row>
    <row r="160" spans="1:14">
      <c r="C160" s="282" t="s">
        <v>226</v>
      </c>
      <c r="D160" s="479"/>
    </row>
    <row r="161" spans="1:7">
      <c r="A161" s="479" t="s">
        <v>217</v>
      </c>
      <c r="B161" s="282" t="s">
        <v>330</v>
      </c>
      <c r="C161" s="282">
        <v>80</v>
      </c>
      <c r="D161" s="282" t="s">
        <v>238</v>
      </c>
    </row>
    <row r="162" spans="1:7">
      <c r="A162" s="479" t="s">
        <v>219</v>
      </c>
      <c r="B162" s="282" t="s">
        <v>332</v>
      </c>
      <c r="C162" s="282">
        <v>70</v>
      </c>
      <c r="D162" s="282" t="s">
        <v>331</v>
      </c>
    </row>
    <row r="163" spans="1:7">
      <c r="A163" s="479" t="s">
        <v>221</v>
      </c>
      <c r="B163" s="282" t="s">
        <v>210</v>
      </c>
      <c r="C163" s="282">
        <v>75</v>
      </c>
      <c r="D163" s="282" t="s">
        <v>331</v>
      </c>
    </row>
    <row r="164" spans="1:7">
      <c r="A164" s="479" t="s">
        <v>299</v>
      </c>
      <c r="B164" s="282" t="s">
        <v>212</v>
      </c>
      <c r="C164" s="282">
        <v>90</v>
      </c>
      <c r="D164" s="282" t="s">
        <v>331</v>
      </c>
    </row>
    <row r="165" spans="1:7">
      <c r="A165" s="479" t="s">
        <v>301</v>
      </c>
      <c r="B165" s="282" t="s">
        <v>208</v>
      </c>
      <c r="C165" s="282">
        <v>120</v>
      </c>
      <c r="D165" s="282" t="s">
        <v>333</v>
      </c>
    </row>
    <row r="166" spans="1:7">
      <c r="A166" s="479" t="s">
        <v>303</v>
      </c>
      <c r="B166" s="282" t="s">
        <v>205</v>
      </c>
      <c r="C166" s="282">
        <v>80</v>
      </c>
      <c r="D166" s="282" t="s">
        <v>235</v>
      </c>
    </row>
    <row r="167" spans="1:7">
      <c r="A167" s="479" t="s">
        <v>305</v>
      </c>
      <c r="B167" s="282" t="s">
        <v>200</v>
      </c>
      <c r="C167" s="282">
        <v>60</v>
      </c>
      <c r="D167" s="282" t="s">
        <v>235</v>
      </c>
    </row>
    <row r="168" spans="1:7">
      <c r="A168" s="479" t="s">
        <v>334</v>
      </c>
      <c r="B168" s="282" t="s">
        <v>335</v>
      </c>
      <c r="C168" s="282">
        <v>25</v>
      </c>
      <c r="D168" s="282" t="s">
        <v>236</v>
      </c>
    </row>
    <row r="170" spans="1:7">
      <c r="B170" s="282" t="s">
        <v>573</v>
      </c>
      <c r="C170" s="282" t="s">
        <v>738</v>
      </c>
    </row>
    <row r="171" spans="1:7">
      <c r="A171" s="478"/>
      <c r="B171" s="282" t="s">
        <v>739</v>
      </c>
    </row>
    <row r="172" spans="1:7">
      <c r="A172" s="478"/>
      <c r="B172" s="467" t="s">
        <v>200</v>
      </c>
      <c r="C172" s="467">
        <v>6.8900000000000003E-2</v>
      </c>
      <c r="D172" s="467" t="s">
        <v>338</v>
      </c>
      <c r="E172" s="468" t="s">
        <v>202</v>
      </c>
      <c r="F172" s="504">
        <v>5.1299999999999998E-2</v>
      </c>
      <c r="G172" s="472" t="s">
        <v>338</v>
      </c>
    </row>
    <row r="173" spans="1:7">
      <c r="A173" s="478"/>
      <c r="B173" s="467" t="s">
        <v>205</v>
      </c>
      <c r="C173" s="467">
        <v>6.8599999999999994E-2</v>
      </c>
      <c r="D173" s="467" t="s">
        <v>338</v>
      </c>
      <c r="E173" s="471" t="s">
        <v>206</v>
      </c>
      <c r="F173" s="467"/>
      <c r="G173" s="472" t="s">
        <v>338</v>
      </c>
    </row>
    <row r="174" spans="1:7">
      <c r="A174" s="478"/>
      <c r="B174" s="467" t="s">
        <v>208</v>
      </c>
      <c r="C174" s="467">
        <v>6.0100000000000001E-2</v>
      </c>
      <c r="D174" s="467" t="s">
        <v>338</v>
      </c>
      <c r="E174" s="471" t="s">
        <v>210</v>
      </c>
      <c r="F174" s="504">
        <v>5.0999999999999997E-2</v>
      </c>
      <c r="G174" s="472" t="s">
        <v>338</v>
      </c>
    </row>
    <row r="175" spans="1:7">
      <c r="A175" s="478"/>
      <c r="B175" s="467"/>
      <c r="D175" s="467"/>
      <c r="E175" s="474" t="s">
        <v>212</v>
      </c>
      <c r="F175" s="504">
        <v>5.0999999999999997E-2</v>
      </c>
      <c r="G175" s="472" t="s">
        <v>338</v>
      </c>
    </row>
    <row r="176" spans="1:7">
      <c r="A176" s="478"/>
      <c r="B176" s="467" t="s">
        <v>339</v>
      </c>
      <c r="C176" s="467"/>
      <c r="D176" s="467">
        <v>0.40799999999999997</v>
      </c>
      <c r="E176" s="467" t="s">
        <v>340</v>
      </c>
      <c r="F176" s="467"/>
      <c r="G176" s="467" t="s">
        <v>341</v>
      </c>
    </row>
    <row r="177" spans="1:9">
      <c r="A177" s="478"/>
    </row>
    <row r="178" spans="1:9">
      <c r="A178" s="478"/>
    </row>
    <row r="179" spans="1:9">
      <c r="B179" s="282" t="s">
        <v>342</v>
      </c>
    </row>
    <row r="180" spans="1:9" ht="37.5">
      <c r="B180" s="1362" t="s">
        <v>343</v>
      </c>
      <c r="C180" s="1363"/>
      <c r="D180" s="1363"/>
      <c r="E180" s="1364"/>
      <c r="F180" s="477" t="s">
        <v>256</v>
      </c>
      <c r="G180" s="477" t="s">
        <v>740</v>
      </c>
      <c r="H180" s="488" t="s">
        <v>741</v>
      </c>
      <c r="I180" s="488" t="s">
        <v>707</v>
      </c>
    </row>
    <row r="181" spans="1:9">
      <c r="B181" s="1362" t="s">
        <v>268</v>
      </c>
      <c r="C181" s="1363"/>
      <c r="D181" s="1363"/>
      <c r="E181" s="1364"/>
      <c r="F181" s="1365" t="s">
        <v>202</v>
      </c>
      <c r="G181" s="1366"/>
      <c r="H181" s="488" t="s">
        <v>200</v>
      </c>
      <c r="I181" s="488" t="s">
        <v>200</v>
      </c>
    </row>
    <row r="182" spans="1:9">
      <c r="B182" s="467" t="s">
        <v>346</v>
      </c>
      <c r="C182" s="467"/>
      <c r="D182" s="467"/>
      <c r="E182" s="477" t="s">
        <v>272</v>
      </c>
      <c r="F182" s="467">
        <f>F108</f>
        <v>100</v>
      </c>
      <c r="G182" s="495">
        <v>100</v>
      </c>
      <c r="H182" s="505">
        <f>H108</f>
        <v>1000</v>
      </c>
      <c r="I182" s="467"/>
    </row>
    <row r="183" spans="1:9">
      <c r="B183" s="467" t="s">
        <v>273</v>
      </c>
      <c r="C183" s="467"/>
      <c r="D183" s="467"/>
      <c r="E183" s="477" t="s">
        <v>272</v>
      </c>
      <c r="F183" s="467">
        <f>F109</f>
        <v>100</v>
      </c>
      <c r="G183" s="477" t="s">
        <v>347</v>
      </c>
      <c r="H183" s="505">
        <f>H109</f>
        <v>800</v>
      </c>
      <c r="I183" s="505">
        <f>I109</f>
        <v>1000</v>
      </c>
    </row>
    <row r="184" spans="1:9">
      <c r="B184" s="467" t="s">
        <v>275</v>
      </c>
      <c r="C184" s="467"/>
      <c r="D184" s="467"/>
      <c r="E184" s="477" t="s">
        <v>272</v>
      </c>
      <c r="F184" s="469">
        <f>F110</f>
        <v>95</v>
      </c>
      <c r="G184" s="477" t="s">
        <v>729</v>
      </c>
      <c r="H184" s="505">
        <f>H112*$C$4/3.6</f>
        <v>896.86111111111109</v>
      </c>
      <c r="I184" s="505"/>
    </row>
    <row r="185" spans="1:9">
      <c r="B185" s="467" t="s">
        <v>278</v>
      </c>
      <c r="C185" s="467"/>
      <c r="D185" s="467"/>
      <c r="E185" s="477" t="s">
        <v>272</v>
      </c>
      <c r="F185" s="469">
        <f>F111</f>
        <v>85</v>
      </c>
      <c r="G185" s="469"/>
      <c r="H185" s="505">
        <f>H113*$C$4/3.6</f>
        <v>896.86111111111109</v>
      </c>
      <c r="I185" s="505">
        <f>I113*$C$4/3.6</f>
        <v>1188.6111111111111</v>
      </c>
    </row>
    <row r="186" spans="1:9">
      <c r="B186" s="467" t="s">
        <v>349</v>
      </c>
      <c r="C186" s="467"/>
      <c r="D186" s="467"/>
      <c r="E186" s="506" t="s">
        <v>350</v>
      </c>
      <c r="F186" s="476">
        <f>F182/F184</f>
        <v>1.0526315789473684</v>
      </c>
      <c r="G186" s="476"/>
      <c r="H186" s="476">
        <f>H182/H184</f>
        <v>1.1149998451389105</v>
      </c>
      <c r="I186" s="476"/>
    </row>
    <row r="187" spans="1:9">
      <c r="B187" s="467" t="s">
        <v>351</v>
      </c>
      <c r="C187" s="467"/>
      <c r="D187" s="467"/>
      <c r="E187" s="506" t="s">
        <v>350</v>
      </c>
      <c r="F187" s="476">
        <f>F183/F185</f>
        <v>1.1764705882352942</v>
      </c>
      <c r="G187" s="476"/>
      <c r="H187" s="476">
        <f>H183/H185</f>
        <v>0.8919998761111283</v>
      </c>
      <c r="I187" s="476">
        <f>I183/I185</f>
        <v>0.84131806496845063</v>
      </c>
    </row>
    <row r="188" spans="1:9">
      <c r="B188" s="467" t="s">
        <v>288</v>
      </c>
      <c r="C188" s="467"/>
      <c r="D188" s="467"/>
      <c r="E188" s="477" t="s">
        <v>272</v>
      </c>
      <c r="F188" s="467"/>
      <c r="G188" s="467"/>
      <c r="H188" s="467">
        <f>H117</f>
        <v>7.5</v>
      </c>
      <c r="I188" s="467"/>
    </row>
    <row r="189" spans="1:9">
      <c r="B189" s="467" t="s">
        <v>290</v>
      </c>
      <c r="C189" s="467"/>
      <c r="D189" s="467"/>
      <c r="E189" s="477" t="s">
        <v>272</v>
      </c>
      <c r="F189" s="467"/>
      <c r="G189" s="467"/>
      <c r="H189" s="467">
        <f>H118</f>
        <v>22</v>
      </c>
      <c r="I189" s="467"/>
    </row>
    <row r="190" spans="1:9">
      <c r="B190" s="467" t="s">
        <v>292</v>
      </c>
      <c r="C190" s="467"/>
      <c r="D190" s="467"/>
      <c r="E190" s="477" t="s">
        <v>272</v>
      </c>
      <c r="F190" s="467"/>
      <c r="G190" s="467"/>
      <c r="H190" s="467">
        <f>H119</f>
        <v>15</v>
      </c>
      <c r="I190" s="467"/>
    </row>
    <row r="191" spans="1:9">
      <c r="B191" s="1362" t="s">
        <v>285</v>
      </c>
      <c r="C191" s="1363"/>
      <c r="D191" s="1364"/>
      <c r="E191" s="506" t="s">
        <v>350</v>
      </c>
      <c r="G191" s="476">
        <f>G120</f>
        <v>1.6</v>
      </c>
      <c r="H191" s="467"/>
      <c r="I191" s="467"/>
    </row>
    <row r="192" spans="1:9">
      <c r="B192" s="507" t="s">
        <v>352</v>
      </c>
      <c r="C192" s="467"/>
      <c r="D192" s="467"/>
      <c r="E192" s="467" t="s">
        <v>263</v>
      </c>
      <c r="F192" s="505">
        <f>F99</f>
        <v>146.64554999999999</v>
      </c>
      <c r="G192" s="505"/>
      <c r="H192" s="505">
        <f>G99</f>
        <v>1439.3</v>
      </c>
      <c r="I192" s="467"/>
    </row>
    <row r="193" spans="2:9">
      <c r="B193" s="1362" t="s">
        <v>742</v>
      </c>
      <c r="C193" s="1363"/>
      <c r="D193" s="1364"/>
      <c r="E193" s="477" t="s">
        <v>743</v>
      </c>
      <c r="F193" s="508">
        <f>F192/$F$4/$H$4</f>
        <v>3.37</v>
      </c>
      <c r="G193" s="490"/>
      <c r="H193" s="509">
        <f>H192/$C$4</f>
        <v>37</v>
      </c>
      <c r="I193" s="467"/>
    </row>
    <row r="194" spans="2:9">
      <c r="B194" s="507" t="s">
        <v>355</v>
      </c>
      <c r="C194" s="467"/>
      <c r="D194" s="467"/>
      <c r="E194" s="467" t="s">
        <v>263</v>
      </c>
      <c r="F194" s="505">
        <f>F100</f>
        <v>91.381500000000003</v>
      </c>
      <c r="G194" s="505"/>
      <c r="H194" s="505">
        <f>G100</f>
        <v>1128.0999999999999</v>
      </c>
      <c r="I194" s="491">
        <f>H100</f>
        <v>1517.1</v>
      </c>
    </row>
    <row r="195" spans="2:9">
      <c r="B195" s="1362" t="s">
        <v>742</v>
      </c>
      <c r="C195" s="1363"/>
      <c r="D195" s="1364"/>
      <c r="E195" s="477" t="s">
        <v>743</v>
      </c>
      <c r="F195" s="508">
        <f>F194/$F$4/$H$4</f>
        <v>2.1</v>
      </c>
      <c r="G195" s="490"/>
      <c r="H195" s="509">
        <f>H194/$C$4</f>
        <v>29</v>
      </c>
      <c r="I195" s="509">
        <f>I194/$C$4</f>
        <v>39</v>
      </c>
    </row>
    <row r="196" spans="2:9">
      <c r="B196" s="507" t="s">
        <v>356</v>
      </c>
      <c r="C196" s="467"/>
      <c r="D196" s="467"/>
      <c r="E196" s="467" t="s">
        <v>263</v>
      </c>
      <c r="F196" s="505">
        <f>F192+F194</f>
        <v>238.02704999999997</v>
      </c>
      <c r="G196" s="505"/>
      <c r="H196" s="505">
        <f t="shared" ref="H196" si="0">H192+H194</f>
        <v>2567.3999999999996</v>
      </c>
      <c r="I196" s="505">
        <f>I192+I194</f>
        <v>1517.1</v>
      </c>
    </row>
    <row r="197" spans="2:9">
      <c r="B197" s="1362" t="s">
        <v>742</v>
      </c>
      <c r="C197" s="1363"/>
      <c r="D197" s="1364"/>
      <c r="E197" s="477" t="s">
        <v>743</v>
      </c>
      <c r="F197" s="510">
        <f>F193+F195</f>
        <v>5.4700000000000006</v>
      </c>
      <c r="G197" s="490"/>
      <c r="H197" s="511">
        <f>H193+H195</f>
        <v>66</v>
      </c>
      <c r="I197" s="511">
        <f>I193+I195</f>
        <v>39</v>
      </c>
    </row>
    <row r="198" spans="2:9">
      <c r="B198" s="467" t="s">
        <v>357</v>
      </c>
      <c r="C198" s="467"/>
      <c r="D198" s="467"/>
      <c r="E198" s="467" t="s">
        <v>251</v>
      </c>
      <c r="F198" s="490">
        <f>F101</f>
        <v>0.8</v>
      </c>
      <c r="G198" s="490"/>
      <c r="H198" s="490">
        <f>G101</f>
        <v>28.2</v>
      </c>
      <c r="I198" s="467"/>
    </row>
    <row r="199" spans="2:9">
      <c r="B199" s="467" t="s">
        <v>358</v>
      </c>
      <c r="C199" s="467"/>
      <c r="D199" s="467"/>
      <c r="E199" s="467" t="s">
        <v>251</v>
      </c>
      <c r="F199" s="490">
        <f>F102</f>
        <v>0.5</v>
      </c>
      <c r="G199" s="490"/>
      <c r="H199" s="490">
        <f>G102</f>
        <v>7.6</v>
      </c>
      <c r="I199" s="490">
        <f>I93</f>
        <v>10.4</v>
      </c>
    </row>
    <row r="200" spans="2:9">
      <c r="B200" s="467" t="s">
        <v>744</v>
      </c>
      <c r="C200" s="467"/>
      <c r="D200" s="467"/>
      <c r="E200" s="467" t="s">
        <v>251</v>
      </c>
      <c r="F200" s="490">
        <f>F198+F199</f>
        <v>1.3</v>
      </c>
      <c r="G200" s="490"/>
      <c r="H200" s="490">
        <f>H198+H199</f>
        <v>35.799999999999997</v>
      </c>
      <c r="I200" s="490">
        <f>I198+I199</f>
        <v>10.4</v>
      </c>
    </row>
    <row r="201" spans="2:9">
      <c r="B201" s="467" t="s">
        <v>359</v>
      </c>
      <c r="C201" s="467"/>
      <c r="D201" s="467"/>
      <c r="E201" s="467" t="s">
        <v>360</v>
      </c>
      <c r="F201" s="492">
        <f>F196*$F$172</f>
        <v>12.210787664999998</v>
      </c>
      <c r="G201" s="492"/>
      <c r="H201" s="491">
        <f>H196*$C$172</f>
        <v>176.89385999999999</v>
      </c>
      <c r="I201" s="491">
        <f>I196*$C$172</f>
        <v>104.52819</v>
      </c>
    </row>
    <row r="202" spans="2:9">
      <c r="B202" s="467" t="s">
        <v>361</v>
      </c>
      <c r="C202" s="467"/>
      <c r="D202" s="467" t="str">
        <f>G176</f>
        <v>東京電力</v>
      </c>
      <c r="E202" s="467" t="s">
        <v>360</v>
      </c>
      <c r="F202" s="490">
        <f>F200*$D$176</f>
        <v>0.53039999999999998</v>
      </c>
      <c r="G202" s="490"/>
      <c r="H202" s="490">
        <f t="shared" ref="H202:I202" si="1">H200*$D$176</f>
        <v>14.606399999999997</v>
      </c>
      <c r="I202" s="490">
        <f t="shared" si="1"/>
        <v>4.2431999999999999</v>
      </c>
    </row>
    <row r="203" spans="2:9">
      <c r="B203" s="467" t="s">
        <v>362</v>
      </c>
      <c r="C203" s="467"/>
      <c r="D203" s="467"/>
      <c r="E203" s="467" t="s">
        <v>360</v>
      </c>
      <c r="F203" s="490">
        <f>F201+F202</f>
        <v>12.741187664999998</v>
      </c>
      <c r="G203" s="490"/>
      <c r="H203" s="505">
        <f t="shared" ref="H203" si="2">H201+H202</f>
        <v>191.50026</v>
      </c>
      <c r="I203" s="505">
        <f>I201+I202</f>
        <v>108.77139</v>
      </c>
    </row>
    <row r="204" spans="2:9">
      <c r="B204" s="467" t="s">
        <v>745</v>
      </c>
      <c r="C204" s="467"/>
      <c r="D204" s="467" t="s">
        <v>746</v>
      </c>
      <c r="E204" s="512" t="s">
        <v>747</v>
      </c>
      <c r="F204" s="513">
        <f>F203/F182</f>
        <v>0.12741187664999998</v>
      </c>
      <c r="G204" s="513"/>
      <c r="H204" s="513">
        <f t="shared" ref="H204" si="3">H203/H182</f>
        <v>0.19150026000000001</v>
      </c>
      <c r="I204" s="513">
        <f>I203/I183</f>
        <v>0.10877139</v>
      </c>
    </row>
    <row r="205" spans="2:9">
      <c r="B205" s="467" t="s">
        <v>363</v>
      </c>
      <c r="C205" s="467"/>
      <c r="D205" s="467" t="s">
        <v>240</v>
      </c>
      <c r="E205" s="467" t="s">
        <v>364</v>
      </c>
      <c r="F205" s="491">
        <f>F197*$C$161</f>
        <v>437.6</v>
      </c>
      <c r="G205" s="491"/>
      <c r="H205" s="491">
        <f>H197*$C$167</f>
        <v>3960</v>
      </c>
      <c r="I205" s="491">
        <f>I197*$C$167</f>
        <v>2340</v>
      </c>
    </row>
    <row r="206" spans="2:9">
      <c r="B206" s="467" t="s">
        <v>363</v>
      </c>
      <c r="C206" s="467"/>
      <c r="D206" s="467" t="s">
        <v>247</v>
      </c>
      <c r="E206" s="467" t="s">
        <v>364</v>
      </c>
      <c r="F206" s="491">
        <f>F200*$C$168</f>
        <v>32.5</v>
      </c>
      <c r="G206" s="491"/>
      <c r="H206" s="491">
        <f>H200*$C$168</f>
        <v>894.99999999999989</v>
      </c>
      <c r="I206" s="491">
        <f>I200*$C$168</f>
        <v>260</v>
      </c>
    </row>
    <row r="207" spans="2:9">
      <c r="B207" s="467" t="s">
        <v>363</v>
      </c>
      <c r="C207" s="467"/>
      <c r="D207" s="467" t="s">
        <v>365</v>
      </c>
      <c r="E207" s="467" t="s">
        <v>364</v>
      </c>
      <c r="F207" s="491">
        <f>F205+F206</f>
        <v>470.1</v>
      </c>
      <c r="G207" s="491"/>
      <c r="H207" s="491">
        <f>H205+H206</f>
        <v>4855</v>
      </c>
      <c r="I207" s="491">
        <f>I205+I206</f>
        <v>2600</v>
      </c>
    </row>
    <row r="208" spans="2:9">
      <c r="B208" s="467" t="s">
        <v>363</v>
      </c>
      <c r="C208" s="467"/>
      <c r="D208" s="467" t="s">
        <v>746</v>
      </c>
      <c r="E208" s="470" t="s">
        <v>596</v>
      </c>
      <c r="F208" s="514">
        <f>F207/F182</f>
        <v>4.7010000000000005</v>
      </c>
      <c r="G208" s="514"/>
      <c r="H208" s="514">
        <f t="shared" ref="H208" si="4">H207/H182</f>
        <v>4.8550000000000004</v>
      </c>
      <c r="I208" s="514">
        <f>I207/I183</f>
        <v>2.6</v>
      </c>
    </row>
    <row r="209" spans="1:15">
      <c r="F209" s="483"/>
      <c r="G209" s="483"/>
      <c r="H209" s="483"/>
      <c r="I209" s="483"/>
    </row>
    <row r="210" spans="1:15">
      <c r="B210" s="282" t="s">
        <v>576</v>
      </c>
    </row>
    <row r="211" spans="1:15">
      <c r="B211" s="282" t="s">
        <v>577</v>
      </c>
    </row>
    <row r="212" spans="1:15">
      <c r="B212" s="282" t="s">
        <v>578</v>
      </c>
    </row>
    <row r="213" spans="1:15">
      <c r="A213" s="478"/>
      <c r="C213" s="479" t="s">
        <v>579</v>
      </c>
      <c r="D213" s="515">
        <f>ROUND(((7+273)/(32-7))/((7+273)/(30-7)),2)</f>
        <v>0.92</v>
      </c>
      <c r="E213" s="282" t="s">
        <v>580</v>
      </c>
    </row>
    <row r="214" spans="1:15">
      <c r="A214" s="478"/>
      <c r="C214" s="479" t="s">
        <v>532</v>
      </c>
      <c r="D214" s="282">
        <v>1</v>
      </c>
      <c r="E214" s="282" t="s">
        <v>581</v>
      </c>
    </row>
    <row r="215" spans="1:15">
      <c r="A215" s="478"/>
      <c r="C215" s="479"/>
    </row>
    <row r="216" spans="1:15">
      <c r="B216" s="282" t="s">
        <v>366</v>
      </c>
    </row>
    <row r="217" spans="1:15" ht="37.5">
      <c r="B217" s="516" t="s">
        <v>367</v>
      </c>
      <c r="C217" s="467"/>
      <c r="D217" s="467"/>
      <c r="E217" s="467"/>
      <c r="F217" s="477" t="s">
        <v>256</v>
      </c>
      <c r="G217" s="477" t="s">
        <v>740</v>
      </c>
      <c r="H217" s="488" t="s">
        <v>741</v>
      </c>
      <c r="I217" s="488" t="s">
        <v>707</v>
      </c>
      <c r="J217" s="477" t="s">
        <v>256</v>
      </c>
      <c r="K217" s="477" t="s">
        <v>740</v>
      </c>
      <c r="L217" s="488" t="s">
        <v>741</v>
      </c>
      <c r="M217" s="488" t="s">
        <v>741</v>
      </c>
      <c r="N217" s="488" t="s">
        <v>741</v>
      </c>
      <c r="O217" s="488" t="s">
        <v>741</v>
      </c>
    </row>
    <row r="218" spans="1:15">
      <c r="B218" s="467" t="s">
        <v>597</v>
      </c>
      <c r="C218" s="467"/>
      <c r="D218" s="467"/>
      <c r="E218" s="477" t="s">
        <v>272</v>
      </c>
      <c r="F218" s="477">
        <f>$F108</f>
        <v>100</v>
      </c>
      <c r="G218" s="517">
        <f>F218</f>
        <v>100</v>
      </c>
      <c r="H218" s="518">
        <f>$H108</f>
        <v>1000</v>
      </c>
      <c r="I218" s="518">
        <f>$I109</f>
        <v>1000</v>
      </c>
      <c r="J218" s="477">
        <f>$F108</f>
        <v>100</v>
      </c>
      <c r="K218" s="477">
        <f>$F108</f>
        <v>100</v>
      </c>
      <c r="L218" s="519">
        <f>$H108</f>
        <v>1000</v>
      </c>
      <c r="M218" s="519">
        <f>$H108</f>
        <v>1000</v>
      </c>
      <c r="N218" s="519">
        <f>$H108</f>
        <v>1000</v>
      </c>
      <c r="O218" s="519">
        <f>$H108</f>
        <v>1000</v>
      </c>
    </row>
    <row r="219" spans="1:15" ht="37.5">
      <c r="B219" s="516" t="s">
        <v>368</v>
      </c>
      <c r="C219" s="467"/>
      <c r="D219" s="467"/>
      <c r="E219" s="467"/>
      <c r="F219" s="477" t="s">
        <v>256</v>
      </c>
      <c r="G219" s="488" t="s">
        <v>748</v>
      </c>
      <c r="H219" s="488" t="s">
        <v>741</v>
      </c>
      <c r="I219" s="488" t="s">
        <v>707</v>
      </c>
      <c r="J219" s="477" t="s">
        <v>749</v>
      </c>
      <c r="K219" s="488" t="s">
        <v>750</v>
      </c>
      <c r="L219" s="488" t="s">
        <v>751</v>
      </c>
      <c r="M219" s="488" t="s">
        <v>752</v>
      </c>
      <c r="N219" s="488" t="s">
        <v>749</v>
      </c>
      <c r="O219" s="488" t="s">
        <v>726</v>
      </c>
    </row>
    <row r="220" spans="1:15">
      <c r="B220" s="516" t="s">
        <v>374</v>
      </c>
      <c r="C220" s="467"/>
      <c r="D220" s="467"/>
      <c r="E220" s="467"/>
      <c r="F220" s="477" t="s">
        <v>375</v>
      </c>
      <c r="G220" s="477" t="s">
        <v>375</v>
      </c>
      <c r="H220" s="488" t="s">
        <v>376</v>
      </c>
      <c r="I220" s="488" t="s">
        <v>376</v>
      </c>
      <c r="J220" s="488" t="s">
        <v>377</v>
      </c>
      <c r="K220" s="488" t="s">
        <v>377</v>
      </c>
      <c r="L220" s="488" t="s">
        <v>377</v>
      </c>
      <c r="M220" s="488" t="s">
        <v>377</v>
      </c>
      <c r="N220" s="488" t="s">
        <v>377</v>
      </c>
      <c r="O220" s="488" t="s">
        <v>377</v>
      </c>
    </row>
    <row r="221" spans="1:15">
      <c r="B221" s="467" t="s">
        <v>268</v>
      </c>
      <c r="C221" s="467"/>
      <c r="D221" s="467"/>
      <c r="E221" s="467"/>
      <c r="F221" s="488" t="str">
        <f t="shared" ref="F221:M221" si="5">F135</f>
        <v>13Aガス</v>
      </c>
      <c r="G221" s="488" t="str">
        <f t="shared" si="5"/>
        <v>13Aガス</v>
      </c>
      <c r="H221" s="488" t="str">
        <f t="shared" si="5"/>
        <v>LPG</v>
      </c>
      <c r="I221" s="488" t="str">
        <f t="shared" si="5"/>
        <v>LNG</v>
      </c>
      <c r="J221" s="488" t="str">
        <f t="shared" si="5"/>
        <v>電力</v>
      </c>
      <c r="K221" s="488" t="str">
        <f t="shared" si="5"/>
        <v>電力</v>
      </c>
      <c r="L221" s="488" t="str">
        <f t="shared" si="5"/>
        <v>電力</v>
      </c>
      <c r="M221" s="488" t="str">
        <f t="shared" si="5"/>
        <v>電力</v>
      </c>
      <c r="N221" s="520" t="str">
        <f>J221</f>
        <v>電力</v>
      </c>
      <c r="O221" s="488" t="str">
        <f>N135</f>
        <v>電力</v>
      </c>
    </row>
    <row r="222" spans="1:15">
      <c r="B222" s="467" t="s">
        <v>555</v>
      </c>
      <c r="C222" s="467"/>
      <c r="D222" s="467"/>
      <c r="E222" s="506" t="s">
        <v>350</v>
      </c>
      <c r="F222" s="518">
        <v>1</v>
      </c>
      <c r="G222" s="518">
        <v>1</v>
      </c>
      <c r="H222" s="518">
        <f t="shared" ref="H222:I222" si="6">H$150</f>
        <v>1</v>
      </c>
      <c r="I222" s="518">
        <f t="shared" si="6"/>
        <v>1</v>
      </c>
      <c r="J222" s="518">
        <v>1</v>
      </c>
      <c r="K222" s="518">
        <v>1</v>
      </c>
      <c r="L222" s="518">
        <f>L$150</f>
        <v>6</v>
      </c>
      <c r="M222" s="518">
        <f>M$150</f>
        <v>6</v>
      </c>
      <c r="N222" s="518">
        <v>10</v>
      </c>
      <c r="O222" s="477">
        <f>N$150</f>
        <v>1</v>
      </c>
    </row>
    <row r="223" spans="1:15">
      <c r="B223" s="467" t="s">
        <v>600</v>
      </c>
      <c r="C223" s="467"/>
      <c r="D223" s="467"/>
      <c r="E223" s="477" t="s">
        <v>272</v>
      </c>
      <c r="F223" s="518">
        <f>F$136</f>
        <v>100</v>
      </c>
      <c r="G223" s="518">
        <f>G$136</f>
        <v>100</v>
      </c>
      <c r="H223" s="518">
        <f t="shared" ref="H223:M224" si="7">H$136</f>
        <v>1000</v>
      </c>
      <c r="I223" s="518">
        <f>I137</f>
        <v>1000</v>
      </c>
      <c r="J223" s="518">
        <f t="shared" si="7"/>
        <v>100</v>
      </c>
      <c r="K223" s="518">
        <f t="shared" si="7"/>
        <v>100</v>
      </c>
      <c r="L223" s="518">
        <f t="shared" si="7"/>
        <v>150</v>
      </c>
      <c r="M223" s="518">
        <f t="shared" si="7"/>
        <v>150</v>
      </c>
      <c r="N223" s="521">
        <f>$J$136</f>
        <v>100</v>
      </c>
      <c r="O223" s="518">
        <f>$N$136</f>
        <v>1000</v>
      </c>
    </row>
    <row r="224" spans="1:15">
      <c r="B224" s="467" t="s">
        <v>346</v>
      </c>
      <c r="C224" s="467"/>
      <c r="D224" s="467"/>
      <c r="E224" s="477" t="s">
        <v>272</v>
      </c>
      <c r="F224" s="522">
        <f>F136</f>
        <v>100</v>
      </c>
      <c r="G224" s="477" t="s">
        <v>347</v>
      </c>
      <c r="H224" s="522">
        <f>H136</f>
        <v>1000</v>
      </c>
      <c r="I224" s="467"/>
      <c r="J224" s="523">
        <f>J$136</f>
        <v>100</v>
      </c>
      <c r="K224" s="523">
        <f t="shared" si="7"/>
        <v>100</v>
      </c>
      <c r="L224" s="523">
        <f t="shared" si="7"/>
        <v>150</v>
      </c>
      <c r="M224" s="523">
        <f t="shared" si="7"/>
        <v>150</v>
      </c>
      <c r="N224" s="505">
        <f>J224</f>
        <v>100</v>
      </c>
      <c r="O224" s="523">
        <f>N$136</f>
        <v>1000</v>
      </c>
    </row>
    <row r="225" spans="2:17">
      <c r="B225" s="467" t="s">
        <v>273</v>
      </c>
      <c r="C225" s="467"/>
      <c r="D225" s="467"/>
      <c r="E225" s="477" t="s">
        <v>272</v>
      </c>
      <c r="F225" s="522">
        <f>F137</f>
        <v>100</v>
      </c>
      <c r="G225" s="477" t="s">
        <v>378</v>
      </c>
      <c r="H225" s="522">
        <f>H137</f>
        <v>800</v>
      </c>
      <c r="I225" s="522">
        <f>I137</f>
        <v>1000</v>
      </c>
      <c r="J225" s="522">
        <f>J137</f>
        <v>100</v>
      </c>
      <c r="K225" s="522"/>
      <c r="L225" s="522">
        <f>L137</f>
        <v>170</v>
      </c>
      <c r="M225" s="522">
        <f>M137</f>
        <v>170</v>
      </c>
      <c r="N225" s="505">
        <f>J225</f>
        <v>100</v>
      </c>
      <c r="O225" s="522"/>
    </row>
    <row r="226" spans="2:17">
      <c r="B226" s="467" t="s">
        <v>379</v>
      </c>
      <c r="C226" s="467"/>
      <c r="D226" s="467"/>
      <c r="E226" s="477" t="s">
        <v>272</v>
      </c>
      <c r="F226" s="522">
        <f>F138</f>
        <v>85</v>
      </c>
      <c r="G226" s="524" t="s">
        <v>380</v>
      </c>
      <c r="H226" s="523">
        <f>$H140*$C$6/3.6</f>
        <v>765.41666666666663</v>
      </c>
      <c r="I226" s="522"/>
      <c r="J226" s="522">
        <f>J138</f>
        <v>30</v>
      </c>
      <c r="K226" s="522"/>
      <c r="L226" s="522">
        <f>L138</f>
        <v>58</v>
      </c>
      <c r="M226" s="522">
        <f>M138</f>
        <v>33</v>
      </c>
      <c r="N226" s="505">
        <f t="shared" ref="N226:N229" si="8">J226</f>
        <v>30</v>
      </c>
      <c r="O226" s="522">
        <f>N138</f>
        <v>165</v>
      </c>
    </row>
    <row r="227" spans="2:17">
      <c r="B227" s="467" t="s">
        <v>381</v>
      </c>
      <c r="C227" s="467"/>
      <c r="D227" s="467"/>
      <c r="E227" s="477" t="s">
        <v>272</v>
      </c>
      <c r="F227" s="522">
        <f>$F139</f>
        <v>80</v>
      </c>
      <c r="G227" s="477"/>
      <c r="H227" s="523">
        <f>$H141*$C$6/3.6</f>
        <v>862.83333333333337</v>
      </c>
      <c r="I227" s="505">
        <f>$I141*$F$7/3.6</f>
        <v>1109.1944444444446</v>
      </c>
      <c r="J227" s="523">
        <f>$J139</f>
        <v>27</v>
      </c>
      <c r="K227" s="525"/>
      <c r="L227" s="505">
        <f>$L139</f>
        <v>52</v>
      </c>
      <c r="M227" s="505">
        <f>$M139</f>
        <v>40</v>
      </c>
      <c r="N227" s="505">
        <f t="shared" si="8"/>
        <v>27</v>
      </c>
      <c r="O227" s="523">
        <f>$J139</f>
        <v>27</v>
      </c>
    </row>
    <row r="228" spans="2:17">
      <c r="B228" s="467" t="s">
        <v>382</v>
      </c>
      <c r="C228" s="467"/>
      <c r="D228" s="467"/>
      <c r="E228" s="506" t="s">
        <v>350</v>
      </c>
      <c r="F228" s="476">
        <f>F224/F226</f>
        <v>1.1764705882352942</v>
      </c>
      <c r="H228" s="476">
        <f>H224/H226</f>
        <v>1.3064779531845401</v>
      </c>
      <c r="I228" s="476"/>
      <c r="J228" s="476">
        <f>J224/J226/$E$8</f>
        <v>1.3888888888888891</v>
      </c>
      <c r="K228" s="476"/>
      <c r="L228" s="476">
        <f>L224/L226/$E$8</f>
        <v>1.0775862068965518</v>
      </c>
      <c r="M228" s="476">
        <f>M224/M226*$D$213/$E$8</f>
        <v>1.7424242424242429</v>
      </c>
      <c r="N228" s="705">
        <f>J228</f>
        <v>1.3888888888888891</v>
      </c>
      <c r="O228" s="476">
        <f>O224/O226/$E$8</f>
        <v>2.5252525252525255</v>
      </c>
    </row>
    <row r="229" spans="2:17">
      <c r="B229" s="467" t="s">
        <v>383</v>
      </c>
      <c r="C229" s="467"/>
      <c r="D229" s="467"/>
      <c r="E229" s="506" t="s">
        <v>350</v>
      </c>
      <c r="F229" s="476">
        <f>F225/F227</f>
        <v>1.25</v>
      </c>
      <c r="G229" s="476"/>
      <c r="H229" s="476">
        <f>H225/H227</f>
        <v>0.92717790225999608</v>
      </c>
      <c r="I229" s="476">
        <f>I225/I227</f>
        <v>0.90155518269014034</v>
      </c>
      <c r="J229" s="476">
        <f>J225/J227/$E$8</f>
        <v>1.5432098765432098</v>
      </c>
      <c r="K229" s="476"/>
      <c r="L229" s="476">
        <f>L225/L227/$E$8</f>
        <v>1.3621794871794872</v>
      </c>
      <c r="M229" s="476">
        <f>M225/M227/$E$8</f>
        <v>1.7708333333333335</v>
      </c>
      <c r="N229" s="705">
        <f t="shared" si="8"/>
        <v>1.5432098765432098</v>
      </c>
      <c r="O229" s="476"/>
    </row>
    <row r="230" spans="2:17">
      <c r="B230" s="467" t="s">
        <v>288</v>
      </c>
      <c r="C230" s="467"/>
      <c r="D230" s="467"/>
      <c r="E230" s="477" t="s">
        <v>272</v>
      </c>
      <c r="F230" s="467"/>
      <c r="G230" s="467"/>
      <c r="H230" s="467">
        <f>H145</f>
        <v>7.5</v>
      </c>
      <c r="I230" s="467"/>
      <c r="J230" s="467"/>
      <c r="K230" s="467"/>
      <c r="L230" s="467"/>
      <c r="M230" s="467">
        <f>$M145</f>
        <v>1.5</v>
      </c>
      <c r="N230" s="467"/>
      <c r="O230" s="467">
        <f>$N145</f>
        <v>5.5</v>
      </c>
    </row>
    <row r="231" spans="2:17">
      <c r="B231" s="467" t="s">
        <v>384</v>
      </c>
      <c r="C231" s="467"/>
      <c r="D231" s="467"/>
      <c r="E231" s="477" t="s">
        <v>272</v>
      </c>
      <c r="F231" s="467"/>
      <c r="G231" s="467"/>
      <c r="H231" s="467">
        <f>H146</f>
        <v>22</v>
      </c>
      <c r="I231" s="467"/>
      <c r="J231" s="467"/>
      <c r="K231" s="467"/>
      <c r="L231" s="467"/>
      <c r="M231" s="467">
        <f>$M146</f>
        <v>3.7</v>
      </c>
      <c r="N231" s="467"/>
      <c r="O231" s="467">
        <f>$N146</f>
        <v>15</v>
      </c>
    </row>
    <row r="232" spans="2:17">
      <c r="B232" s="467" t="s">
        <v>292</v>
      </c>
      <c r="C232" s="467"/>
      <c r="D232" s="467"/>
      <c r="E232" s="477" t="s">
        <v>272</v>
      </c>
      <c r="F232" s="467"/>
      <c r="G232" s="467"/>
      <c r="H232" s="467">
        <f>H147</f>
        <v>15</v>
      </c>
      <c r="I232" s="467">
        <f>I147</f>
        <v>15</v>
      </c>
      <c r="J232" s="467"/>
      <c r="K232" s="467"/>
      <c r="L232" s="467">
        <f>L147</f>
        <v>15</v>
      </c>
      <c r="M232" s="467">
        <f>$M147</f>
        <v>2.2000000000000002</v>
      </c>
      <c r="N232" s="476"/>
      <c r="O232" s="467">
        <f>$N147</f>
        <v>15</v>
      </c>
    </row>
    <row r="233" spans="2:17">
      <c r="B233" s="467" t="s">
        <v>385</v>
      </c>
      <c r="C233" s="467"/>
      <c r="D233" s="467"/>
      <c r="E233" s="477" t="s">
        <v>272</v>
      </c>
      <c r="F233" s="467"/>
      <c r="G233" s="467"/>
      <c r="H233" s="467"/>
      <c r="I233" s="467"/>
      <c r="J233" s="467"/>
      <c r="K233" s="467"/>
      <c r="L233" s="467"/>
      <c r="M233" s="467">
        <f>$M148</f>
        <v>2.2000000000000002</v>
      </c>
      <c r="N233" s="467"/>
      <c r="O233" s="467"/>
    </row>
    <row r="234" spans="2:17">
      <c r="B234" s="1362" t="s">
        <v>314</v>
      </c>
      <c r="C234" s="1363"/>
      <c r="D234" s="1364"/>
      <c r="E234" s="506" t="s">
        <v>350</v>
      </c>
      <c r="F234" s="467"/>
      <c r="G234" s="476">
        <f>G149</f>
        <v>2.1</v>
      </c>
      <c r="H234" s="467"/>
      <c r="I234" s="467"/>
      <c r="J234" s="467"/>
      <c r="K234" s="476">
        <f>K149</f>
        <v>5.5</v>
      </c>
      <c r="L234" s="467"/>
      <c r="M234" s="467"/>
      <c r="N234" s="467"/>
      <c r="O234" s="467"/>
      <c r="Q234" s="282" t="s">
        <v>819</v>
      </c>
    </row>
    <row r="235" spans="2:17">
      <c r="B235" s="610" t="s">
        <v>352</v>
      </c>
      <c r="C235" s="611"/>
      <c r="D235" s="611"/>
      <c r="E235" s="612" t="s">
        <v>263</v>
      </c>
      <c r="F235" s="613">
        <f>F$99*(F186/F228)*(F$223/F$218)</f>
        <v>131.20917631578945</v>
      </c>
      <c r="G235" s="613"/>
      <c r="H235" s="613">
        <f>G$99*(H186/H228)*(H$223/H$218)</f>
        <v>1228.3554216867469</v>
      </c>
      <c r="I235" s="613"/>
      <c r="J235" s="613">
        <f>F$99*(F186/J228)*(J$223/J$218)</f>
        <v>111.14189052631576</v>
      </c>
      <c r="K235" s="613"/>
      <c r="L235" s="626">
        <f>$G99*(H186/L228)*(L$223/L$218)*L222</f>
        <v>1340.3450602409637</v>
      </c>
      <c r="M235" s="626">
        <f>$G$99*($H186/M228)*(M$223/M$218)*M222</f>
        <v>828.924044002095</v>
      </c>
      <c r="N235" s="626">
        <f>$G$99*(H186/N228)*(N223/N218)*N222</f>
        <v>1155.4698795180725</v>
      </c>
      <c r="O235" s="626">
        <f>$G$99*($H186/O228)*(O$223/O$218)*O222</f>
        <v>635.50843373493979</v>
      </c>
    </row>
    <row r="236" spans="2:17">
      <c r="B236" s="1362" t="s">
        <v>742</v>
      </c>
      <c r="C236" s="1363"/>
      <c r="D236" s="1364"/>
      <c r="E236" s="477" t="s">
        <v>743</v>
      </c>
      <c r="F236" s="508">
        <f>F235/$F$4/$H$4</f>
        <v>3.0152631578947364</v>
      </c>
      <c r="G236" s="491"/>
      <c r="H236" s="526">
        <f>H235/$C$6</f>
        <v>24.518072289156624</v>
      </c>
      <c r="J236" s="527">
        <f>J235/$E$8/3.6</f>
        <v>12.863644736842101</v>
      </c>
      <c r="K236" s="491"/>
      <c r="L236" s="527">
        <f>L235/$E$8/3.6</f>
        <v>155.1325301204819</v>
      </c>
      <c r="M236" s="527">
        <f>M235/$E$8/3.6</f>
        <v>95.940282870612847</v>
      </c>
      <c r="N236" s="527">
        <f>N235/$E$8/3.6</f>
        <v>133.73493975903617</v>
      </c>
      <c r="O236" s="527">
        <f>O235/$E$8/3.6</f>
        <v>73.55421686746989</v>
      </c>
    </row>
    <row r="237" spans="2:17">
      <c r="B237" s="610" t="s">
        <v>355</v>
      </c>
      <c r="C237" s="611"/>
      <c r="D237" s="611"/>
      <c r="E237" s="612" t="s">
        <v>263</v>
      </c>
      <c r="F237" s="613">
        <f>$F$100*(F187/F229)*(F$223/F$218)</f>
        <v>86.006117647058829</v>
      </c>
      <c r="G237" s="613"/>
      <c r="H237" s="613">
        <f>$G$100*(H187/H229)*(H$223/H$218)</f>
        <v>1085.2987951807229</v>
      </c>
      <c r="I237" s="613">
        <f>$H$100*(I187/I229)*(I223/I218)</f>
        <v>1415.7354545454548</v>
      </c>
      <c r="J237" s="613">
        <f>F100*(F187/J229)*(J223/J218)</f>
        <v>69.664955294117661</v>
      </c>
      <c r="K237" s="613"/>
      <c r="L237" s="626">
        <f>$G$100*(H187/L229)*(L$223/L$218)*L222</f>
        <v>664.84524450744152</v>
      </c>
      <c r="M237" s="626">
        <f>$G$100*(H187/M229)*(M$223/M$218)*M222</f>
        <v>511.41941885187805</v>
      </c>
      <c r="N237" s="626">
        <f>$G100*(H187/N229)*(N$223/N$218)*N222</f>
        <v>652.05975903614444</v>
      </c>
      <c r="O237" s="614"/>
    </row>
    <row r="238" spans="2:17">
      <c r="B238" s="1362" t="s">
        <v>742</v>
      </c>
      <c r="C238" s="1363"/>
      <c r="D238" s="1364"/>
      <c r="E238" s="477" t="s">
        <v>743</v>
      </c>
      <c r="F238" s="508">
        <f>F237/$F$4/$H$4</f>
        <v>1.9764705882352942</v>
      </c>
      <c r="G238" s="492"/>
      <c r="H238" s="526">
        <f>H237/$C$6</f>
        <v>21.662650602409638</v>
      </c>
      <c r="I238" s="526">
        <f>I237/$F$7</f>
        <v>25.881818181818186</v>
      </c>
      <c r="J238" s="527">
        <f>J237/$E$8/3.6</f>
        <v>8.063073529411767</v>
      </c>
      <c r="K238" s="491"/>
      <c r="L238" s="527">
        <f>L237/$E$8/3.6</f>
        <v>76.949681077250176</v>
      </c>
      <c r="M238" s="527">
        <f>M237/$E$8/3.6</f>
        <v>59.192062367115518</v>
      </c>
      <c r="N238" s="527">
        <f>N237/$E$8/3.6</f>
        <v>75.469879518072275</v>
      </c>
      <c r="O238" s="467"/>
      <c r="P238" s="483"/>
    </row>
    <row r="239" spans="2:17">
      <c r="B239" s="507" t="s">
        <v>356</v>
      </c>
      <c r="C239" s="467"/>
      <c r="D239" s="467"/>
      <c r="E239" s="477" t="s">
        <v>263</v>
      </c>
      <c r="F239" s="491">
        <f>F235+F237</f>
        <v>217.21529396284828</v>
      </c>
      <c r="G239" s="491">
        <f>($F$99+$F$100)*($G$120/$G$149)*(G$223/G$218)</f>
        <v>181.35394285714284</v>
      </c>
      <c r="H239" s="491">
        <f t="shared" ref="H239:O239" si="9">H235+H237</f>
        <v>2313.6542168674696</v>
      </c>
      <c r="I239" s="491">
        <f>I235+I237</f>
        <v>1415.7354545454548</v>
      </c>
      <c r="J239" s="491">
        <f t="shared" si="9"/>
        <v>180.80684582043341</v>
      </c>
      <c r="K239" s="491">
        <f>($F$99+$F$100)*(G120/($K$149/$E$8))</f>
        <v>166.1861585454545</v>
      </c>
      <c r="L239" s="491">
        <f>L235+L237</f>
        <v>2005.1903047484052</v>
      </c>
      <c r="M239" s="491">
        <f t="shared" si="9"/>
        <v>1340.3434628539731</v>
      </c>
      <c r="N239" s="491">
        <f t="shared" si="9"/>
        <v>1807.5296385542169</v>
      </c>
      <c r="O239" s="491">
        <f t="shared" si="9"/>
        <v>635.50843373493979</v>
      </c>
    </row>
    <row r="240" spans="2:17">
      <c r="B240" s="1362" t="s">
        <v>742</v>
      </c>
      <c r="C240" s="1363"/>
      <c r="D240" s="1364"/>
      <c r="E240" s="477" t="s">
        <v>743</v>
      </c>
      <c r="F240" s="508">
        <f>F239/$F$4/$H$4</f>
        <v>4.9917337461300306</v>
      </c>
      <c r="G240" s="508">
        <f>G239/$F$4/$H$4</f>
        <v>4.1676190476190476</v>
      </c>
      <c r="H240" s="526">
        <f>H239/$C$6</f>
        <v>46.180722891566255</v>
      </c>
      <c r="I240" s="526">
        <f>I239/$F$7</f>
        <v>25.881818181818186</v>
      </c>
      <c r="J240" s="527">
        <f t="shared" ref="J240:O240" si="10">J239/$E$8/3.6</f>
        <v>20.926718266253868</v>
      </c>
      <c r="K240" s="491">
        <f>K239/$E$8/3.6</f>
        <v>19.234509090909089</v>
      </c>
      <c r="L240" s="527">
        <f>L239/$E$8/3.6</f>
        <v>232.08221119773211</v>
      </c>
      <c r="M240" s="527">
        <f t="shared" si="10"/>
        <v>155.13234523772837</v>
      </c>
      <c r="N240" s="527">
        <f t="shared" si="10"/>
        <v>209.20481927710847</v>
      </c>
      <c r="O240" s="527">
        <f t="shared" si="10"/>
        <v>73.55421686746989</v>
      </c>
    </row>
    <row r="241" spans="2:16">
      <c r="B241" s="611" t="s">
        <v>357</v>
      </c>
      <c r="C241" s="611"/>
      <c r="D241" s="611"/>
      <c r="E241" s="611" t="s">
        <v>251</v>
      </c>
      <c r="F241" s="624">
        <f>$F101*($F142/$F114)*(F$223/F$218)</f>
        <v>0.8</v>
      </c>
      <c r="G241" s="624">
        <f>$F101*$F142/$F114*(G$223/G$218)</f>
        <v>0.8</v>
      </c>
      <c r="H241" s="624">
        <f>$G101*((H145+H146+H147)/(H117+H118+H119))*(H$223/H$218)</f>
        <v>28.2</v>
      </c>
      <c r="I241" s="613"/>
      <c r="J241" s="611"/>
      <c r="K241" s="611"/>
      <c r="L241" s="625">
        <f>$H92*L147/($H117+$H118+$H119)*(L$223/L$218)*L222</f>
        <v>8.5550561797752813</v>
      </c>
      <c r="M241" s="625">
        <f>$H92*($M145+$M146+$M147)/($H117+$H118+$H119)*(M$223/M$218)*M222</f>
        <v>4.2204943820224727</v>
      </c>
      <c r="N241" s="624"/>
      <c r="O241" s="624">
        <f>$G101*(N145+N146+N147)/($H117+$H118+$H119)*(O$223/O$218)</f>
        <v>22.496629213483146</v>
      </c>
    </row>
    <row r="242" spans="2:16">
      <c r="B242" s="611" t="s">
        <v>358</v>
      </c>
      <c r="C242" s="611"/>
      <c r="D242" s="611"/>
      <c r="E242" s="611" t="s">
        <v>251</v>
      </c>
      <c r="F242" s="624">
        <f>$F102*$F143/$F115*(F$223/F$218)</f>
        <v>0.5</v>
      </c>
      <c r="G242" s="624">
        <f>$F102*$F143/$F115*(G$223/G$218)</f>
        <v>0.5</v>
      </c>
      <c r="H242" s="624">
        <f>$G102*(H147/H119)*(H$223/H$218)</f>
        <v>7.6</v>
      </c>
      <c r="I242" s="624">
        <f>I93</f>
        <v>10.4</v>
      </c>
      <c r="J242" s="611"/>
      <c r="K242" s="611"/>
      <c r="L242" s="625">
        <f>$H93*L147/(H117+$H118+$H119)*(L$223/L$218)*L222</f>
        <v>2.3056179775280898</v>
      </c>
      <c r="M242" s="625">
        <f>$H93*($M147+M148)/($H119)*(M$223/M$218)*M222</f>
        <v>2.0063999999999997</v>
      </c>
      <c r="N242" s="624"/>
      <c r="O242" s="611"/>
    </row>
    <row r="243" spans="2:16">
      <c r="B243" s="467" t="s">
        <v>744</v>
      </c>
      <c r="C243" s="467"/>
      <c r="D243" s="467"/>
      <c r="E243" s="467" t="s">
        <v>251</v>
      </c>
      <c r="F243" s="492">
        <f>F241+F242</f>
        <v>1.3</v>
      </c>
      <c r="G243" s="492">
        <f t="shared" ref="G243:O243" si="11">G241+G242</f>
        <v>1.3</v>
      </c>
      <c r="H243" s="492">
        <f t="shared" si="11"/>
        <v>35.799999999999997</v>
      </c>
      <c r="I243" s="492">
        <f t="shared" si="11"/>
        <v>10.4</v>
      </c>
      <c r="J243" s="492"/>
      <c r="K243" s="492"/>
      <c r="L243" s="492">
        <f>L241+L242</f>
        <v>10.860674157303372</v>
      </c>
      <c r="M243" s="492">
        <f>M241+M242</f>
        <v>6.226894382022472</v>
      </c>
      <c r="N243" s="492"/>
      <c r="O243" s="492">
        <f t="shared" si="11"/>
        <v>22.496629213483146</v>
      </c>
    </row>
    <row r="244" spans="2:16">
      <c r="B244" s="467" t="s">
        <v>387</v>
      </c>
      <c r="C244" s="467"/>
      <c r="D244" s="467"/>
      <c r="E244" s="467" t="s">
        <v>360</v>
      </c>
      <c r="F244" s="621">
        <f>F239*$F$172</f>
        <v>11.143144580294116</v>
      </c>
      <c r="G244" s="621">
        <f>G239*$F$172</f>
        <v>9.3034572685714281</v>
      </c>
      <c r="H244" s="500">
        <f>H239*$C$174</f>
        <v>139.05061843373491</v>
      </c>
      <c r="I244" s="500">
        <f>I239*$F$175</f>
        <v>72.202508181818189</v>
      </c>
      <c r="J244" s="500">
        <f t="shared" ref="J244:K244" si="12">J240*$D$176</f>
        <v>8.5381010526315784</v>
      </c>
      <c r="K244" s="500">
        <f t="shared" si="12"/>
        <v>7.8476797090909081</v>
      </c>
      <c r="L244" s="500">
        <f>L240*$D$176</f>
        <v>94.689542168674691</v>
      </c>
      <c r="M244" s="500">
        <f>M240*$D$176</f>
        <v>63.293996856993175</v>
      </c>
      <c r="N244" s="500">
        <f>N240*$D$176</f>
        <v>85.355566265060247</v>
      </c>
      <c r="O244" s="500">
        <f>O240*$D$176</f>
        <v>30.010120481927714</v>
      </c>
      <c r="P244" s="282" t="s">
        <v>783</v>
      </c>
    </row>
    <row r="245" spans="2:16">
      <c r="B245" s="467" t="s">
        <v>388</v>
      </c>
      <c r="C245" s="467"/>
      <c r="D245" s="467"/>
      <c r="E245" s="467" t="s">
        <v>360</v>
      </c>
      <c r="F245" s="621">
        <f>F243*D176</f>
        <v>0.53039999999999998</v>
      </c>
      <c r="G245" s="621">
        <f>(G241+G242)*$D$176</f>
        <v>0.53039999999999998</v>
      </c>
      <c r="H245" s="500">
        <f>(H241+H242)*$D$176</f>
        <v>14.606399999999997</v>
      </c>
      <c r="I245" s="500">
        <f>(I241+I242)*$D$176</f>
        <v>4.2431999999999999</v>
      </c>
      <c r="J245" s="467"/>
      <c r="K245" s="467"/>
      <c r="L245" s="621">
        <f>(L241+L242)*$D$176</f>
        <v>4.431155056179775</v>
      </c>
      <c r="M245" s="621">
        <f>(M241+M242)*$D$176</f>
        <v>2.5405729078651684</v>
      </c>
      <c r="N245" s="500"/>
      <c r="O245" s="500">
        <f>(O241+O242)*$D$176</f>
        <v>9.1786247191011228</v>
      </c>
      <c r="P245" s="282" t="s">
        <v>810</v>
      </c>
    </row>
    <row r="246" spans="2:16">
      <c r="B246" s="467" t="s">
        <v>362</v>
      </c>
      <c r="C246" s="467"/>
      <c r="D246" s="467"/>
      <c r="E246" s="467" t="s">
        <v>360</v>
      </c>
      <c r="F246" s="621">
        <f>F244+F245</f>
        <v>11.673544580294116</v>
      </c>
      <c r="G246" s="621">
        <f t="shared" ref="G246:O246" si="13">G244+G245</f>
        <v>9.8338572685714283</v>
      </c>
      <c r="H246" s="621">
        <f t="shared" si="13"/>
        <v>153.65701843373492</v>
      </c>
      <c r="I246" s="621">
        <f t="shared" si="13"/>
        <v>76.44570818181819</v>
      </c>
      <c r="J246" s="621">
        <f t="shared" si="13"/>
        <v>8.5381010526315784</v>
      </c>
      <c r="K246" s="621">
        <f t="shared" si="13"/>
        <v>7.8476797090909081</v>
      </c>
      <c r="L246" s="621">
        <f t="shared" si="13"/>
        <v>99.120697224854467</v>
      </c>
      <c r="M246" s="621">
        <f t="shared" si="13"/>
        <v>65.834569764858344</v>
      </c>
      <c r="N246" s="621">
        <f t="shared" si="13"/>
        <v>85.355566265060247</v>
      </c>
      <c r="O246" s="621">
        <f t="shared" si="13"/>
        <v>39.188745201028837</v>
      </c>
    </row>
    <row r="247" spans="2:16">
      <c r="B247" s="467" t="s">
        <v>745</v>
      </c>
      <c r="C247" s="467"/>
      <c r="D247" s="467" t="s">
        <v>746</v>
      </c>
      <c r="E247" s="622" t="s">
        <v>753</v>
      </c>
      <c r="F247" s="623">
        <f>F246/(F223*F222)</f>
        <v>0.11673544580294117</v>
      </c>
      <c r="G247" s="623">
        <f t="shared" ref="G247:M247" si="14">G246/(G223*G222)</f>
        <v>9.8338572685714276E-2</v>
      </c>
      <c r="H247" s="623">
        <f t="shared" si="14"/>
        <v>0.15365701843373492</v>
      </c>
      <c r="I247" s="623">
        <f t="shared" si="14"/>
        <v>7.6445708181818187E-2</v>
      </c>
      <c r="J247" s="623">
        <f>J246/(J223*J222)</f>
        <v>8.538101052631579E-2</v>
      </c>
      <c r="K247" s="623">
        <f t="shared" si="14"/>
        <v>7.8476797090909087E-2</v>
      </c>
      <c r="L247" s="623">
        <f t="shared" si="14"/>
        <v>0.11013410802761607</v>
      </c>
      <c r="M247" s="623">
        <f t="shared" si="14"/>
        <v>7.3149521960953715E-2</v>
      </c>
      <c r="N247" s="623">
        <f>N246/(N223*N222)</f>
        <v>8.5355566265060245E-2</v>
      </c>
      <c r="O247" s="623">
        <f>O246/(O223*O222)</f>
        <v>3.9188745201028836E-2</v>
      </c>
    </row>
    <row r="248" spans="2:16">
      <c r="B248" s="467" t="s">
        <v>389</v>
      </c>
      <c r="C248" s="467"/>
      <c r="D248" s="467" t="s">
        <v>240</v>
      </c>
      <c r="E248" s="467" t="s">
        <v>364</v>
      </c>
      <c r="F248" s="491">
        <f>F240*C$161</f>
        <v>399.33869969040245</v>
      </c>
      <c r="G248" s="491">
        <f>G240*$C$161</f>
        <v>333.40952380952382</v>
      </c>
      <c r="H248" s="491">
        <f>H240*C165</f>
        <v>5541.6867469879508</v>
      </c>
      <c r="I248" s="491">
        <f>I240*C164</f>
        <v>2329.3636363636369</v>
      </c>
      <c r="J248" s="491"/>
      <c r="K248" s="491"/>
      <c r="L248" s="491">
        <f>L240*$C$168</f>
        <v>5802.0552799433026</v>
      </c>
      <c r="M248" s="491">
        <f>M240*$C$168</f>
        <v>3878.3086309432092</v>
      </c>
      <c r="N248" s="491">
        <f>N240*$C$168</f>
        <v>5230.1204819277118</v>
      </c>
      <c r="O248" s="491">
        <f>O240*$C$168</f>
        <v>1838.8554216867471</v>
      </c>
    </row>
    <row r="249" spans="2:16">
      <c r="B249" s="467" t="s">
        <v>389</v>
      </c>
      <c r="C249" s="467"/>
      <c r="D249" s="467" t="s">
        <v>247</v>
      </c>
      <c r="E249" s="467" t="s">
        <v>364</v>
      </c>
      <c r="F249" s="491">
        <f>F243*$C168</f>
        <v>32.5</v>
      </c>
      <c r="G249" s="491">
        <f>G243*$C168</f>
        <v>32.5</v>
      </c>
      <c r="H249" s="491">
        <f>H243*$C168</f>
        <v>894.99999999999989</v>
      </c>
      <c r="I249" s="491">
        <f>I243*$C168</f>
        <v>260</v>
      </c>
      <c r="J249" s="491"/>
      <c r="K249" s="491"/>
      <c r="L249" s="491">
        <f>L243*$C168</f>
        <v>271.5168539325843</v>
      </c>
      <c r="M249" s="491">
        <f>M243*$C168</f>
        <v>155.67235955056179</v>
      </c>
      <c r="N249" s="491"/>
      <c r="O249" s="491">
        <f>O243*$C168</f>
        <v>562.41573033707868</v>
      </c>
    </row>
    <row r="250" spans="2:16">
      <c r="B250" s="467" t="s">
        <v>389</v>
      </c>
      <c r="C250" s="495"/>
      <c r="D250" s="467" t="s">
        <v>365</v>
      </c>
      <c r="E250" s="467" t="s">
        <v>364</v>
      </c>
      <c r="F250" s="491">
        <f>F248+F249</f>
        <v>431.83869969040245</v>
      </c>
      <c r="G250" s="491">
        <f>G248+G249</f>
        <v>365.90952380952382</v>
      </c>
      <c r="H250" s="491">
        <f>H248+H249</f>
        <v>6436.6867469879508</v>
      </c>
      <c r="I250" s="491">
        <f>I248+I249</f>
        <v>2589.3636363636369</v>
      </c>
      <c r="J250" s="491">
        <f>J240*$C$168</f>
        <v>523.16795665634675</v>
      </c>
      <c r="K250" s="491">
        <f>K240*$C$168</f>
        <v>480.86272727272723</v>
      </c>
      <c r="L250" s="491">
        <f>L248+L249</f>
        <v>6073.5721338758867</v>
      </c>
      <c r="M250" s="491">
        <f>M248+M249</f>
        <v>4033.9809904937711</v>
      </c>
      <c r="N250" s="491">
        <f>N248+N249</f>
        <v>5230.1204819277118</v>
      </c>
      <c r="O250" s="491">
        <f>O248+O249</f>
        <v>2401.2711520238258</v>
      </c>
    </row>
    <row r="251" spans="2:16">
      <c r="B251" s="467" t="s">
        <v>363</v>
      </c>
      <c r="C251" s="467"/>
      <c r="D251" s="467" t="s">
        <v>746</v>
      </c>
      <c r="E251" s="470" t="s">
        <v>596</v>
      </c>
      <c r="F251" s="514">
        <f>F250/(F223*F222)</f>
        <v>4.3183869969040245</v>
      </c>
      <c r="G251" s="514">
        <f t="shared" ref="G251:O251" si="15">G250/(G223*G222)</f>
        <v>3.6590952380952384</v>
      </c>
      <c r="H251" s="514">
        <f t="shared" si="15"/>
        <v>6.4366867469879505</v>
      </c>
      <c r="I251" s="514">
        <f t="shared" si="15"/>
        <v>2.589363636363637</v>
      </c>
      <c r="J251" s="514">
        <f t="shared" si="15"/>
        <v>5.2316795665634679</v>
      </c>
      <c r="K251" s="514">
        <f t="shared" si="15"/>
        <v>4.8086272727272723</v>
      </c>
      <c r="L251" s="514">
        <f t="shared" si="15"/>
        <v>6.7484134820843185</v>
      </c>
      <c r="M251" s="514">
        <f t="shared" si="15"/>
        <v>4.4822011005486342</v>
      </c>
      <c r="N251" s="514">
        <f t="shared" si="15"/>
        <v>5.2301204819277114</v>
      </c>
      <c r="O251" s="514">
        <f t="shared" si="15"/>
        <v>2.4012711520238259</v>
      </c>
    </row>
  </sheetData>
  <mergeCells count="28">
    <mergeCell ref="B234:D234"/>
    <mergeCell ref="B236:D236"/>
    <mergeCell ref="B238:D238"/>
    <mergeCell ref="B240:D240"/>
    <mergeCell ref="B181:E181"/>
    <mergeCell ref="F181:G181"/>
    <mergeCell ref="B191:D191"/>
    <mergeCell ref="B193:D193"/>
    <mergeCell ref="B195:D195"/>
    <mergeCell ref="B197:D197"/>
    <mergeCell ref="B180:E180"/>
    <mergeCell ref="B92:D92"/>
    <mergeCell ref="B93:D93"/>
    <mergeCell ref="B97:D97"/>
    <mergeCell ref="B98:D98"/>
    <mergeCell ref="B99:D99"/>
    <mergeCell ref="B100:D100"/>
    <mergeCell ref="B101:D101"/>
    <mergeCell ref="B102:D102"/>
    <mergeCell ref="B107:D107"/>
    <mergeCell ref="B120:C120"/>
    <mergeCell ref="B135:C135"/>
    <mergeCell ref="B91:D91"/>
    <mergeCell ref="C23:D23"/>
    <mergeCell ref="C24:D24"/>
    <mergeCell ref="B88:D88"/>
    <mergeCell ref="B89:D89"/>
    <mergeCell ref="B90:D90"/>
  </mergeCells>
  <phoneticPr fontId="7"/>
  <pageMargins left="0.70866141732283472" right="0"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3E43-3555-486B-8FFB-73EAF4994913}">
  <sheetPr>
    <tabColor theme="6" tint="-0.249977111117893"/>
  </sheetPr>
  <dimension ref="A1:Q104"/>
  <sheetViews>
    <sheetView zoomScaleNormal="100" workbookViewId="0">
      <selection activeCell="J45" sqref="J45"/>
    </sheetView>
  </sheetViews>
  <sheetFormatPr defaultColWidth="9" defaultRowHeight="18.75"/>
  <cols>
    <col min="1" max="1" width="17.5" style="1" bestFit="1" customWidth="1"/>
    <col min="2" max="2" width="9" style="7"/>
    <col min="3" max="3" width="11.125" style="1" bestFit="1" customWidth="1"/>
    <col min="4" max="4" width="12.125" style="1" bestFit="1" customWidth="1"/>
    <col min="5" max="5" width="11.5" style="1" customWidth="1"/>
    <col min="6" max="6" width="9.75" style="1" customWidth="1"/>
    <col min="7" max="7" width="8.75" style="1" customWidth="1"/>
    <col min="8" max="8" width="13.75" style="1" customWidth="1"/>
    <col min="9" max="9" width="10.875" style="1" customWidth="1"/>
    <col min="10" max="10" width="11.25" style="1" bestFit="1" customWidth="1"/>
    <col min="11" max="11" width="9" style="1"/>
    <col min="12" max="12" width="12.5" style="1" bestFit="1" customWidth="1"/>
    <col min="13" max="13" width="17.5" style="1" bestFit="1" customWidth="1"/>
    <col min="14" max="16384" width="9" style="1"/>
  </cols>
  <sheetData>
    <row r="1" spans="1:11" ht="19.5">
      <c r="A1" s="106" t="s">
        <v>148</v>
      </c>
      <c r="B1" s="107" t="s">
        <v>149</v>
      </c>
      <c r="C1" s="108"/>
      <c r="D1" s="109"/>
      <c r="E1" s="110"/>
      <c r="F1" s="1373" t="s">
        <v>150</v>
      </c>
      <c r="G1" s="1374"/>
      <c r="H1" s="1374"/>
      <c r="I1" s="1375"/>
      <c r="J1"/>
      <c r="K1"/>
    </row>
    <row r="2" spans="1:11" ht="19.5">
      <c r="A2" s="111" t="s">
        <v>0</v>
      </c>
      <c r="B2" s="13">
        <v>36.729999999999997</v>
      </c>
      <c r="C2" s="112" t="s">
        <v>27</v>
      </c>
      <c r="D2" s="113" t="s">
        <v>26</v>
      </c>
      <c r="E2" s="114" t="s">
        <v>65</v>
      </c>
      <c r="F2" s="111">
        <v>85</v>
      </c>
      <c r="G2" s="115">
        <v>1</v>
      </c>
      <c r="H2" s="116">
        <f>F2*G2</f>
        <v>85</v>
      </c>
      <c r="I2" s="117" t="s">
        <v>66</v>
      </c>
      <c r="K2"/>
    </row>
    <row r="3" spans="1:11" ht="19.5">
      <c r="A3" s="111" t="s">
        <v>1</v>
      </c>
      <c r="B3" s="13">
        <v>39.67</v>
      </c>
      <c r="C3" s="112" t="s">
        <v>27</v>
      </c>
      <c r="D3" s="113" t="s">
        <v>26</v>
      </c>
      <c r="E3" s="114" t="s">
        <v>65</v>
      </c>
      <c r="F3" s="111">
        <v>68</v>
      </c>
      <c r="G3" s="115">
        <v>1</v>
      </c>
      <c r="H3" s="116">
        <f t="shared" ref="H3:H14" si="0">F3*G3</f>
        <v>68</v>
      </c>
      <c r="I3" s="117" t="s">
        <v>66</v>
      </c>
      <c r="K3"/>
    </row>
    <row r="4" spans="1:11" ht="19.5">
      <c r="A4" s="111" t="s">
        <v>2</v>
      </c>
      <c r="B4" s="13">
        <v>34.270000000000003</v>
      </c>
      <c r="C4" s="112" t="s">
        <v>27</v>
      </c>
      <c r="D4" s="113" t="s">
        <v>26</v>
      </c>
      <c r="E4" s="114" t="s">
        <v>65</v>
      </c>
      <c r="F4" s="111">
        <v>101</v>
      </c>
      <c r="G4" s="115">
        <v>1</v>
      </c>
      <c r="H4" s="116">
        <f t="shared" si="0"/>
        <v>101</v>
      </c>
      <c r="I4" s="117" t="s">
        <v>66</v>
      </c>
      <c r="K4"/>
    </row>
    <row r="5" spans="1:11" ht="19.5">
      <c r="A5" s="111" t="s">
        <v>7</v>
      </c>
      <c r="B5" s="13">
        <v>46.44</v>
      </c>
      <c r="C5" s="112" t="s">
        <v>11</v>
      </c>
      <c r="D5" s="113" t="s">
        <v>14</v>
      </c>
      <c r="E5" s="114" t="s">
        <v>65</v>
      </c>
      <c r="F5" s="111">
        <v>140</v>
      </c>
      <c r="G5" s="115">
        <v>1</v>
      </c>
      <c r="H5" s="116">
        <f t="shared" si="0"/>
        <v>140</v>
      </c>
      <c r="I5" s="117" t="s">
        <v>67</v>
      </c>
      <c r="K5"/>
    </row>
    <row r="6" spans="1:11" ht="19.5">
      <c r="A6" s="111" t="s">
        <v>8</v>
      </c>
      <c r="B6" s="7">
        <v>46.44</v>
      </c>
      <c r="C6" s="112" t="s">
        <v>11</v>
      </c>
      <c r="D6" s="113" t="s">
        <v>14</v>
      </c>
      <c r="E6" s="114" t="s">
        <v>65</v>
      </c>
      <c r="F6" s="111">
        <v>140</v>
      </c>
      <c r="G6" s="118">
        <v>2.0747</v>
      </c>
      <c r="H6" s="116">
        <f t="shared" si="0"/>
        <v>290.45799999999997</v>
      </c>
      <c r="I6" s="117" t="s">
        <v>67</v>
      </c>
      <c r="K6"/>
    </row>
    <row r="7" spans="1:11" ht="19.5">
      <c r="A7" s="111" t="s">
        <v>4</v>
      </c>
      <c r="B7" s="13">
        <v>49.84</v>
      </c>
      <c r="C7" s="112" t="s">
        <v>11</v>
      </c>
      <c r="D7" s="113" t="s">
        <v>14</v>
      </c>
      <c r="E7" s="114" t="s">
        <v>65</v>
      </c>
      <c r="F7" s="111">
        <v>101</v>
      </c>
      <c r="G7" s="115">
        <v>1</v>
      </c>
      <c r="H7" s="116">
        <f t="shared" si="0"/>
        <v>101</v>
      </c>
      <c r="I7" s="117" t="s">
        <v>67</v>
      </c>
      <c r="K7"/>
    </row>
    <row r="8" spans="1:11" ht="19.5">
      <c r="A8" s="111" t="s">
        <v>9</v>
      </c>
      <c r="B8" s="13">
        <v>40.630000000000003</v>
      </c>
      <c r="C8" s="112" t="s">
        <v>13</v>
      </c>
      <c r="D8" s="113" t="s">
        <v>15</v>
      </c>
      <c r="E8" s="114" t="s">
        <v>65</v>
      </c>
      <c r="F8" s="111">
        <v>94</v>
      </c>
      <c r="G8" s="115">
        <v>1</v>
      </c>
      <c r="H8" s="116">
        <f t="shared" si="0"/>
        <v>94</v>
      </c>
      <c r="I8" s="117" t="s">
        <v>75</v>
      </c>
      <c r="K8"/>
    </row>
    <row r="9" spans="1:11" ht="19.5">
      <c r="A9" s="111" t="s">
        <v>10</v>
      </c>
      <c r="B9" s="13">
        <v>40.630000000000003</v>
      </c>
      <c r="C9" s="112" t="s">
        <v>12</v>
      </c>
      <c r="D9" s="113" t="s">
        <v>16</v>
      </c>
      <c r="E9" s="114" t="s">
        <v>65</v>
      </c>
      <c r="F9" s="111">
        <v>94</v>
      </c>
      <c r="G9" s="118">
        <v>0.92910000000000004</v>
      </c>
      <c r="H9" s="116">
        <f t="shared" si="0"/>
        <v>87.335400000000007</v>
      </c>
      <c r="I9" s="117" t="s">
        <v>76</v>
      </c>
      <c r="K9"/>
    </row>
    <row r="10" spans="1:11" ht="19.5">
      <c r="A10" s="111" t="s">
        <v>61</v>
      </c>
      <c r="B10" s="14">
        <v>3.6</v>
      </c>
      <c r="C10" s="113" t="s">
        <v>62</v>
      </c>
      <c r="D10" s="113" t="s">
        <v>63</v>
      </c>
      <c r="E10" s="114" t="s">
        <v>65</v>
      </c>
      <c r="F10" s="111">
        <v>24</v>
      </c>
      <c r="G10" s="115">
        <v>1</v>
      </c>
      <c r="H10" s="116">
        <f t="shared" si="0"/>
        <v>24</v>
      </c>
      <c r="I10" s="117" t="s">
        <v>68</v>
      </c>
      <c r="K10"/>
    </row>
    <row r="11" spans="1:11" ht="19.5">
      <c r="A11" s="111" t="s">
        <v>3</v>
      </c>
      <c r="B11" s="13">
        <v>46.44</v>
      </c>
      <c r="C11" s="113" t="s">
        <v>11</v>
      </c>
      <c r="D11" s="113" t="s">
        <v>14</v>
      </c>
      <c r="E11" s="114" t="s">
        <v>65</v>
      </c>
      <c r="F11" s="111">
        <v>140</v>
      </c>
      <c r="G11" s="115">
        <v>1</v>
      </c>
      <c r="H11" s="116">
        <f t="shared" si="0"/>
        <v>140</v>
      </c>
      <c r="I11" s="117" t="s">
        <v>67</v>
      </c>
      <c r="K11"/>
    </row>
    <row r="12" spans="1:11" ht="19.5">
      <c r="A12" s="111" t="s">
        <v>4</v>
      </c>
      <c r="B12" s="13">
        <v>49.84</v>
      </c>
      <c r="C12" s="113" t="s">
        <v>11</v>
      </c>
      <c r="D12" s="113" t="s">
        <v>14</v>
      </c>
      <c r="E12" s="114" t="s">
        <v>65</v>
      </c>
      <c r="F12" s="111">
        <v>101</v>
      </c>
      <c r="G12" s="115">
        <v>1</v>
      </c>
      <c r="H12" s="116">
        <f t="shared" si="0"/>
        <v>101</v>
      </c>
      <c r="I12" s="117" t="s">
        <v>67</v>
      </c>
      <c r="K12"/>
    </row>
    <row r="13" spans="1:11" ht="19.5">
      <c r="A13" s="111" t="s">
        <v>5</v>
      </c>
      <c r="B13" s="13">
        <v>40.630000000000003</v>
      </c>
      <c r="C13" s="113" t="s">
        <v>13</v>
      </c>
      <c r="D13" s="113" t="s">
        <v>15</v>
      </c>
      <c r="E13" s="114" t="s">
        <v>65</v>
      </c>
      <c r="F13" s="111">
        <v>94</v>
      </c>
      <c r="G13" s="115">
        <v>1</v>
      </c>
      <c r="H13" s="116">
        <f t="shared" si="0"/>
        <v>94</v>
      </c>
      <c r="I13" s="117" t="s">
        <v>75</v>
      </c>
      <c r="K13"/>
    </row>
    <row r="14" spans="1:11" ht="20.25" thickBot="1">
      <c r="A14" s="119" t="s">
        <v>28</v>
      </c>
      <c r="B14" s="120">
        <v>16</v>
      </c>
      <c r="C14" s="121" t="s">
        <v>11</v>
      </c>
      <c r="D14" s="121" t="s">
        <v>14</v>
      </c>
      <c r="E14" s="122" t="s">
        <v>65</v>
      </c>
      <c r="F14" s="119">
        <v>25</v>
      </c>
      <c r="G14" s="123">
        <v>1</v>
      </c>
      <c r="H14" s="124">
        <f t="shared" si="0"/>
        <v>25</v>
      </c>
      <c r="I14" s="125" t="s">
        <v>67</v>
      </c>
      <c r="K14"/>
    </row>
    <row r="15" spans="1:11" ht="19.5">
      <c r="A15" s="190" t="s">
        <v>176</v>
      </c>
      <c r="B15"/>
      <c r="C15"/>
      <c r="D15"/>
      <c r="E15"/>
      <c r="F15"/>
      <c r="H15"/>
      <c r="I15"/>
      <c r="J15"/>
      <c r="K15"/>
    </row>
    <row r="16" spans="1:11">
      <c r="A16" s="190" t="s">
        <v>177</v>
      </c>
      <c r="C16" s="10"/>
      <c r="D16" s="10"/>
      <c r="E16" s="10"/>
    </row>
    <row r="17" spans="1:17">
      <c r="C17" s="10"/>
      <c r="D17" s="10"/>
      <c r="E17" s="10"/>
    </row>
    <row r="18" spans="1:17" ht="19.5" thickBot="1">
      <c r="B18" s="126"/>
      <c r="C18" s="10"/>
      <c r="D18" s="10"/>
      <c r="E18" s="10"/>
    </row>
    <row r="19" spans="1:17" ht="18" customHeight="1" thickBot="1">
      <c r="A19" s="367" t="s">
        <v>151</v>
      </c>
      <c r="B19" s="107"/>
      <c r="C19" s="108"/>
      <c r="D19" s="109"/>
      <c r="E19" s="110"/>
      <c r="F19" s="378" t="s">
        <v>669</v>
      </c>
      <c r="H19" s="1376" t="s">
        <v>152</v>
      </c>
      <c r="I19" s="1369">
        <f>'2-2 算定シート（燃焼式）'!L5</f>
        <v>0</v>
      </c>
      <c r="J19" s="1379"/>
    </row>
    <row r="20" spans="1:17" ht="17.45" customHeight="1" thickBot="1">
      <c r="A20" s="111" t="s">
        <v>0</v>
      </c>
      <c r="B20" s="14">
        <v>1</v>
      </c>
      <c r="C20" s="363">
        <f t="shared" ref="C20:C28" si="1">$F$22</f>
        <v>0</v>
      </c>
      <c r="D20" s="128">
        <f t="shared" ref="D20:D27" si="2">B20*C20</f>
        <v>0</v>
      </c>
      <c r="E20" s="368" t="s">
        <v>26</v>
      </c>
      <c r="F20" s="375">
        <f>'計算シート (燃焼式)'!D65</f>
        <v>0</v>
      </c>
      <c r="H20" s="1377"/>
      <c r="I20" s="1380"/>
      <c r="J20" s="1381"/>
    </row>
    <row r="21" spans="1:17" ht="18.600000000000001" customHeight="1" thickBot="1">
      <c r="A21" s="111" t="s">
        <v>1</v>
      </c>
      <c r="B21" s="14">
        <v>1</v>
      </c>
      <c r="C21" s="363">
        <f t="shared" si="1"/>
        <v>0</v>
      </c>
      <c r="D21" s="129">
        <f t="shared" si="2"/>
        <v>0</v>
      </c>
      <c r="E21" s="368" t="s">
        <v>26</v>
      </c>
      <c r="F21" s="375">
        <f>'計算シート (燃焼式)'!D66</f>
        <v>0</v>
      </c>
      <c r="H21" s="381" t="e">
        <f>VLOOKUP(I19,A20:D28,4,FALSE)</f>
        <v>#N/A</v>
      </c>
      <c r="I21" s="1370"/>
      <c r="J21" s="1382"/>
    </row>
    <row r="22" spans="1:17" ht="18.600000000000001" customHeight="1" thickBot="1">
      <c r="A22" s="111" t="s">
        <v>2</v>
      </c>
      <c r="B22" s="14">
        <v>1</v>
      </c>
      <c r="C22" s="363">
        <f t="shared" si="1"/>
        <v>0</v>
      </c>
      <c r="D22" s="129">
        <f t="shared" si="2"/>
        <v>0</v>
      </c>
      <c r="E22" s="368" t="s">
        <v>26</v>
      </c>
      <c r="F22" s="379">
        <f>F20+F21</f>
        <v>0</v>
      </c>
    </row>
    <row r="23" spans="1:17" ht="18.600000000000001" customHeight="1">
      <c r="A23" s="111" t="s">
        <v>7</v>
      </c>
      <c r="B23" s="14">
        <v>1</v>
      </c>
      <c r="C23" s="363">
        <f t="shared" si="1"/>
        <v>0</v>
      </c>
      <c r="D23" s="129">
        <f t="shared" si="2"/>
        <v>0</v>
      </c>
      <c r="E23" s="368" t="s">
        <v>14</v>
      </c>
    </row>
    <row r="24" spans="1:17" ht="18.600000000000001" customHeight="1">
      <c r="A24" s="373" t="s">
        <v>3</v>
      </c>
      <c r="B24" s="364">
        <v>2.0747</v>
      </c>
      <c r="C24" s="365">
        <f t="shared" si="1"/>
        <v>0</v>
      </c>
      <c r="D24" s="376">
        <f t="shared" si="2"/>
        <v>0</v>
      </c>
      <c r="E24" s="374" t="s">
        <v>14</v>
      </c>
    </row>
    <row r="25" spans="1:17" ht="18.600000000000001" customHeight="1">
      <c r="A25" s="111" t="s">
        <v>4</v>
      </c>
      <c r="B25" s="14">
        <v>1</v>
      </c>
      <c r="C25" s="363">
        <f t="shared" si="1"/>
        <v>0</v>
      </c>
      <c r="D25" s="129">
        <f t="shared" si="2"/>
        <v>0</v>
      </c>
      <c r="E25" s="368" t="s">
        <v>14</v>
      </c>
    </row>
    <row r="26" spans="1:17" ht="18.600000000000001" customHeight="1">
      <c r="A26" s="111" t="s">
        <v>5</v>
      </c>
      <c r="B26" s="14">
        <v>1</v>
      </c>
      <c r="C26" s="363">
        <f t="shared" si="1"/>
        <v>0</v>
      </c>
      <c r="D26" s="129">
        <f t="shared" si="2"/>
        <v>0</v>
      </c>
      <c r="E26" s="368" t="s">
        <v>15</v>
      </c>
    </row>
    <row r="27" spans="1:17" ht="18.600000000000001" customHeight="1">
      <c r="A27" s="373" t="s">
        <v>392</v>
      </c>
      <c r="B27" s="366">
        <v>0.92910000000000004</v>
      </c>
      <c r="C27" s="365">
        <f t="shared" si="1"/>
        <v>0</v>
      </c>
      <c r="D27" s="376">
        <f t="shared" si="2"/>
        <v>0</v>
      </c>
      <c r="E27" s="374" t="s">
        <v>16</v>
      </c>
    </row>
    <row r="28" spans="1:17" ht="19.149999999999999" customHeight="1" thickBot="1">
      <c r="A28" s="369" t="s">
        <v>61</v>
      </c>
      <c r="B28" s="370">
        <v>1</v>
      </c>
      <c r="C28" s="371">
        <f t="shared" si="1"/>
        <v>0</v>
      </c>
      <c r="D28" s="131">
        <f>C28*B28</f>
        <v>0</v>
      </c>
      <c r="E28" s="372" t="s">
        <v>64</v>
      </c>
    </row>
    <row r="29" spans="1:17" ht="19.149999999999999" customHeight="1" thickBot="1">
      <c r="A29" s="42"/>
      <c r="B29" s="3"/>
      <c r="C29" s="377"/>
      <c r="E29" s="143"/>
      <c r="M29" s="42"/>
      <c r="N29" s="3"/>
      <c r="O29" s="377"/>
      <c r="Q29" s="143"/>
    </row>
    <row r="30" spans="1:17" ht="19.149999999999999" customHeight="1" thickBot="1">
      <c r="A30" s="367" t="s">
        <v>151</v>
      </c>
      <c r="B30" s="107"/>
      <c r="C30" s="108"/>
      <c r="D30" s="109"/>
      <c r="E30" s="110"/>
      <c r="F30" s="378" t="s">
        <v>670</v>
      </c>
      <c r="H30" s="1376" t="s">
        <v>153</v>
      </c>
      <c r="I30" s="1369">
        <f>'2-2 算定シート（燃焼式）'!L43</f>
        <v>0</v>
      </c>
      <c r="J30" s="1379"/>
      <c r="M30" s="42"/>
      <c r="N30" s="3"/>
      <c r="O30" s="377"/>
      <c r="Q30" s="143"/>
    </row>
    <row r="31" spans="1:17" ht="19.149999999999999" customHeight="1" thickBot="1">
      <c r="A31" s="111" t="s">
        <v>0</v>
      </c>
      <c r="B31" s="14">
        <v>1</v>
      </c>
      <c r="C31" s="363">
        <f t="shared" ref="C31:C39" si="3">$F$33</f>
        <v>0</v>
      </c>
      <c r="D31" s="128">
        <f t="shared" ref="D31:D38" si="4">B31*C31</f>
        <v>0</v>
      </c>
      <c r="E31" s="368" t="s">
        <v>26</v>
      </c>
      <c r="F31" s="375">
        <f>'計算シート (燃焼式)'!H65</f>
        <v>0</v>
      </c>
      <c r="H31" s="1378"/>
      <c r="I31" s="1380"/>
      <c r="J31" s="1381"/>
      <c r="M31" s="42"/>
      <c r="N31" s="3"/>
      <c r="O31" s="377"/>
      <c r="Q31" s="143"/>
    </row>
    <row r="32" spans="1:17" ht="19.149999999999999" customHeight="1" thickBot="1">
      <c r="A32" s="111" t="s">
        <v>1</v>
      </c>
      <c r="B32" s="14">
        <v>1</v>
      </c>
      <c r="C32" s="363">
        <f t="shared" si="3"/>
        <v>0</v>
      </c>
      <c r="D32" s="129">
        <f t="shared" si="4"/>
        <v>0</v>
      </c>
      <c r="E32" s="368" t="s">
        <v>26</v>
      </c>
      <c r="F32" s="375">
        <f>'計算シート (燃焼式)'!H66</f>
        <v>0</v>
      </c>
      <c r="H32" s="130" t="e">
        <f>VLOOKUP(I30,A31:D39,4,FALSE)</f>
        <v>#N/A</v>
      </c>
      <c r="I32" s="1370"/>
      <c r="J32" s="1382"/>
      <c r="M32" s="42"/>
      <c r="N32" s="3"/>
      <c r="O32" s="377"/>
      <c r="Q32" s="143"/>
    </row>
    <row r="33" spans="1:17" ht="19.149999999999999" customHeight="1" thickBot="1">
      <c r="A33" s="111" t="s">
        <v>2</v>
      </c>
      <c r="B33" s="14">
        <v>1</v>
      </c>
      <c r="C33" s="363">
        <f t="shared" si="3"/>
        <v>0</v>
      </c>
      <c r="D33" s="129">
        <f t="shared" si="4"/>
        <v>0</v>
      </c>
      <c r="E33" s="368" t="s">
        <v>26</v>
      </c>
      <c r="F33" s="380">
        <f>F31+F32</f>
        <v>0</v>
      </c>
      <c r="M33" s="42"/>
      <c r="N33" s="3"/>
      <c r="O33" s="377"/>
      <c r="Q33" s="143"/>
    </row>
    <row r="34" spans="1:17" ht="19.149999999999999" customHeight="1">
      <c r="A34" s="111" t="s">
        <v>7</v>
      </c>
      <c r="B34" s="14">
        <v>1</v>
      </c>
      <c r="C34" s="363">
        <f t="shared" si="3"/>
        <v>0</v>
      </c>
      <c r="D34" s="129">
        <f t="shared" si="4"/>
        <v>0</v>
      </c>
      <c r="E34" s="368" t="s">
        <v>14</v>
      </c>
      <c r="M34" s="42"/>
      <c r="N34" s="3"/>
      <c r="O34" s="377"/>
      <c r="Q34" s="143"/>
    </row>
    <row r="35" spans="1:17" ht="19.149999999999999" customHeight="1">
      <c r="A35" s="373" t="s">
        <v>3</v>
      </c>
      <c r="B35" s="364">
        <v>2.0747</v>
      </c>
      <c r="C35" s="365">
        <f t="shared" si="3"/>
        <v>0</v>
      </c>
      <c r="D35" s="376">
        <f t="shared" si="4"/>
        <v>0</v>
      </c>
      <c r="E35" s="374" t="s">
        <v>14</v>
      </c>
      <c r="M35" s="42"/>
      <c r="N35" s="3"/>
      <c r="O35" s="377"/>
      <c r="Q35" s="143"/>
    </row>
    <row r="36" spans="1:17" ht="19.149999999999999" customHeight="1">
      <c r="A36" s="111" t="s">
        <v>4</v>
      </c>
      <c r="B36" s="14">
        <v>1</v>
      </c>
      <c r="C36" s="363">
        <f t="shared" si="3"/>
        <v>0</v>
      </c>
      <c r="D36" s="129">
        <f t="shared" si="4"/>
        <v>0</v>
      </c>
      <c r="E36" s="368" t="s">
        <v>14</v>
      </c>
      <c r="M36" s="42"/>
      <c r="N36" s="3"/>
      <c r="O36" s="377"/>
      <c r="Q36" s="143"/>
    </row>
    <row r="37" spans="1:17" ht="19.149999999999999" customHeight="1">
      <c r="A37" s="111" t="s">
        <v>5</v>
      </c>
      <c r="B37" s="14">
        <v>1</v>
      </c>
      <c r="C37" s="363">
        <f t="shared" si="3"/>
        <v>0</v>
      </c>
      <c r="D37" s="129">
        <f t="shared" si="4"/>
        <v>0</v>
      </c>
      <c r="E37" s="368" t="s">
        <v>15</v>
      </c>
      <c r="M37" s="42"/>
      <c r="N37" s="3"/>
      <c r="O37" s="377"/>
      <c r="Q37" s="143"/>
    </row>
    <row r="38" spans="1:17" ht="19.149999999999999" customHeight="1">
      <c r="A38" s="373" t="s">
        <v>392</v>
      </c>
      <c r="B38" s="366">
        <v>0.92910000000000004</v>
      </c>
      <c r="C38" s="365">
        <f t="shared" si="3"/>
        <v>0</v>
      </c>
      <c r="D38" s="376">
        <f t="shared" si="4"/>
        <v>0</v>
      </c>
      <c r="E38" s="374" t="s">
        <v>16</v>
      </c>
      <c r="M38" s="42"/>
      <c r="N38" s="3"/>
      <c r="O38" s="377"/>
      <c r="Q38" s="143"/>
    </row>
    <row r="39" spans="1:17" ht="19.149999999999999" customHeight="1" thickBot="1">
      <c r="A39" s="369" t="s">
        <v>61</v>
      </c>
      <c r="B39" s="370">
        <v>1</v>
      </c>
      <c r="C39" s="371">
        <f t="shared" si="3"/>
        <v>0</v>
      </c>
      <c r="D39" s="131">
        <f>C39*B39</f>
        <v>0</v>
      </c>
      <c r="E39" s="372" t="s">
        <v>64</v>
      </c>
      <c r="M39" s="42"/>
      <c r="N39" s="3"/>
      <c r="O39" s="377"/>
      <c r="Q39" s="143"/>
    </row>
    <row r="40" spans="1:17" ht="19.149999999999999" customHeight="1">
      <c r="A40" s="42"/>
      <c r="B40" s="3"/>
      <c r="C40" s="377"/>
      <c r="E40" s="143"/>
      <c r="M40" s="42"/>
      <c r="N40" s="3"/>
      <c r="O40" s="377"/>
      <c r="Q40" s="143"/>
    </row>
    <row r="41" spans="1:17" ht="19.149999999999999" customHeight="1">
      <c r="A41" s="42"/>
      <c r="B41" s="3"/>
      <c r="C41" s="377"/>
      <c r="E41" s="143"/>
      <c r="M41" s="42"/>
      <c r="N41" s="3"/>
      <c r="O41" s="377"/>
      <c r="Q41" s="143"/>
    </row>
    <row r="42" spans="1:17">
      <c r="C42" s="3"/>
    </row>
    <row r="43" spans="1:17" ht="20.25" thickBot="1">
      <c r="A43" s="127" t="s">
        <v>154</v>
      </c>
      <c r="B43" s="127" t="s">
        <v>29</v>
      </c>
      <c r="C43" s="132" t="s">
        <v>22</v>
      </c>
      <c r="D43" s="127" t="s">
        <v>24</v>
      </c>
      <c r="E43"/>
    </row>
    <row r="44" spans="1:17" ht="18.600000000000001" customHeight="1">
      <c r="A44" s="18" t="s">
        <v>21</v>
      </c>
      <c r="B44" s="15">
        <v>38.9</v>
      </c>
      <c r="C44" s="20">
        <v>7.0800000000000002E-2</v>
      </c>
      <c r="D44" s="19">
        <f>B44*C44</f>
        <v>2.7541199999999999</v>
      </c>
      <c r="F44" s="1369" t="s">
        <v>155</v>
      </c>
      <c r="G44" s="133" t="s">
        <v>171</v>
      </c>
      <c r="L44"/>
      <c r="M44"/>
    </row>
    <row r="45" spans="1:17" ht="19.149999999999999" customHeight="1" thickBot="1">
      <c r="A45" s="18" t="s">
        <v>1</v>
      </c>
      <c r="B45" s="15">
        <v>41.78</v>
      </c>
      <c r="C45" s="20">
        <v>7.4099999999999999E-2</v>
      </c>
      <c r="D45" s="19">
        <f t="shared" ref="D45:D56" si="5">B45*C45</f>
        <v>3.095898</v>
      </c>
      <c r="F45" s="1370"/>
      <c r="G45" s="134" t="str">
        <f>IFERROR(G44*H21,"")</f>
        <v/>
      </c>
      <c r="L45"/>
      <c r="M45"/>
    </row>
    <row r="46" spans="1:17" ht="20.25" thickBot="1">
      <c r="A46" s="18" t="s">
        <v>2</v>
      </c>
      <c r="B46" s="15">
        <v>36.49</v>
      </c>
      <c r="C46" s="20">
        <v>6.8599999999999994E-2</v>
      </c>
      <c r="D46" s="19">
        <f t="shared" si="5"/>
        <v>2.5032139999999998</v>
      </c>
      <c r="G46" s="2"/>
      <c r="I46"/>
      <c r="L46"/>
      <c r="M46"/>
    </row>
    <row r="47" spans="1:17" ht="18.600000000000001" customHeight="1">
      <c r="A47" s="18" t="s">
        <v>7</v>
      </c>
      <c r="B47" s="15">
        <v>50.08</v>
      </c>
      <c r="C47" s="20">
        <v>6.0100000000000001E-2</v>
      </c>
      <c r="D47" s="19">
        <f>B47*C47</f>
        <v>3.009808</v>
      </c>
      <c r="F47" s="1369" t="s">
        <v>156</v>
      </c>
      <c r="G47" s="133" t="s">
        <v>171</v>
      </c>
      <c r="L47"/>
      <c r="M47"/>
    </row>
    <row r="48" spans="1:17" ht="19.149999999999999" customHeight="1" thickBot="1">
      <c r="A48" s="18" t="s">
        <v>8</v>
      </c>
      <c r="B48" s="15">
        <v>50.08</v>
      </c>
      <c r="C48" s="20">
        <v>6.0100000000000001E-2</v>
      </c>
      <c r="D48" s="19">
        <f>B48*C48</f>
        <v>3.009808</v>
      </c>
      <c r="F48" s="1370"/>
      <c r="G48" s="134" t="str">
        <f>IFERROR(G47*H32,"")</f>
        <v/>
      </c>
      <c r="L48"/>
      <c r="M48"/>
    </row>
    <row r="49" spans="1:13" ht="19.5">
      <c r="A49" s="18" t="s">
        <v>4</v>
      </c>
      <c r="B49" s="15">
        <v>54.7</v>
      </c>
      <c r="C49" s="20">
        <v>5.0999999999999997E-2</v>
      </c>
      <c r="D49" s="19">
        <f>B49*C49</f>
        <v>2.7896999999999998</v>
      </c>
      <c r="G49" s="2"/>
      <c r="I49"/>
      <c r="L49"/>
      <c r="M49"/>
    </row>
    <row r="50" spans="1:13" ht="20.25" thickBot="1">
      <c r="A50" s="18" t="s">
        <v>9</v>
      </c>
      <c r="B50" s="15">
        <v>45</v>
      </c>
      <c r="C50" s="680">
        <v>5.04E-2</v>
      </c>
      <c r="D50" s="681">
        <f>B50*C50</f>
        <v>2.2679999999999998</v>
      </c>
      <c r="G50" s="2"/>
      <c r="I50"/>
      <c r="L50"/>
      <c r="M50"/>
    </row>
    <row r="51" spans="1:13" ht="19.5">
      <c r="A51" s="18" t="s">
        <v>10</v>
      </c>
      <c r="B51" s="16">
        <v>45</v>
      </c>
      <c r="C51" s="680">
        <v>5.04E-2</v>
      </c>
      <c r="D51" s="681">
        <f t="shared" si="5"/>
        <v>2.2679999999999998</v>
      </c>
      <c r="F51" s="1371" t="s">
        <v>157</v>
      </c>
      <c r="G51" s="133" t="s">
        <v>171</v>
      </c>
      <c r="I51"/>
      <c r="L51"/>
      <c r="M51"/>
    </row>
    <row r="52" spans="1:13" ht="20.25" thickBot="1">
      <c r="A52" s="4" t="s">
        <v>61</v>
      </c>
      <c r="B52" s="14">
        <v>3.6</v>
      </c>
      <c r="C52" s="62">
        <v>0.1211</v>
      </c>
      <c r="D52" s="4">
        <f t="shared" si="5"/>
        <v>0.43596000000000001</v>
      </c>
      <c r="F52" s="1372"/>
      <c r="G52" s="135" t="str">
        <f>IFERROR(G51*H21,"")</f>
        <v/>
      </c>
      <c r="I52"/>
      <c r="L52"/>
      <c r="M52"/>
    </row>
    <row r="53" spans="1:13" ht="20.25" thickBot="1">
      <c r="A53" s="18" t="s">
        <v>3</v>
      </c>
      <c r="B53" s="15">
        <v>50.08</v>
      </c>
      <c r="C53" s="20">
        <v>6.0100000000000001E-2</v>
      </c>
      <c r="D53" s="19">
        <f t="shared" si="5"/>
        <v>3.009808</v>
      </c>
      <c r="I53"/>
      <c r="L53"/>
      <c r="M53"/>
    </row>
    <row r="54" spans="1:13" ht="19.5">
      <c r="A54" s="18" t="s">
        <v>4</v>
      </c>
      <c r="B54" s="15">
        <v>54.7</v>
      </c>
      <c r="C54" s="20">
        <v>5.0999999999999997E-2</v>
      </c>
      <c r="D54" s="19">
        <f t="shared" si="5"/>
        <v>2.7896999999999998</v>
      </c>
      <c r="F54" s="1371" t="s">
        <v>158</v>
      </c>
      <c r="G54" s="110" t="s">
        <v>171</v>
      </c>
      <c r="I54"/>
    </row>
    <row r="55" spans="1:13" ht="20.25" thickBot="1">
      <c r="A55" s="18" t="s">
        <v>5</v>
      </c>
      <c r="B55" s="15">
        <v>45</v>
      </c>
      <c r="C55" s="20">
        <v>5.1299999999999998E-2</v>
      </c>
      <c r="D55" s="19">
        <f t="shared" si="5"/>
        <v>2.3085</v>
      </c>
      <c r="F55" s="1372"/>
      <c r="G55" s="136" t="str">
        <f>IFERROR(G54*H32,"")</f>
        <v/>
      </c>
      <c r="I55"/>
    </row>
    <row r="56" spans="1:13" ht="19.5">
      <c r="A56" s="18" t="s">
        <v>28</v>
      </c>
      <c r="B56" s="16">
        <v>17.5</v>
      </c>
      <c r="C56" s="21">
        <v>9.9999999999999995E-8</v>
      </c>
      <c r="D56" s="19">
        <f t="shared" si="5"/>
        <v>1.75E-6</v>
      </c>
      <c r="G56" s="2"/>
      <c r="I56"/>
    </row>
    <row r="57" spans="1:13" ht="19.5">
      <c r="A57" s="9" t="s">
        <v>159</v>
      </c>
      <c r="B57"/>
      <c r="C57"/>
      <c r="D57"/>
      <c r="G57" s="2"/>
      <c r="I57"/>
    </row>
    <row r="58" spans="1:13" ht="19.5">
      <c r="G58" s="2"/>
      <c r="I58"/>
    </row>
    <row r="59" spans="1:13" ht="19.5">
      <c r="A59" s="9"/>
      <c r="G59" s="2"/>
      <c r="I59"/>
    </row>
    <row r="60" spans="1:13" ht="19.5">
      <c r="A60"/>
      <c r="B60"/>
      <c r="C60"/>
      <c r="D60"/>
      <c r="E60"/>
      <c r="F60"/>
      <c r="G60"/>
      <c r="H60"/>
      <c r="I60"/>
      <c r="J60"/>
    </row>
    <row r="61" spans="1:13" ht="19.5">
      <c r="A61"/>
      <c r="B61"/>
      <c r="C61"/>
      <c r="D61"/>
      <c r="E61"/>
      <c r="F61"/>
      <c r="G61"/>
      <c r="H61"/>
      <c r="I61"/>
      <c r="J61"/>
    </row>
    <row r="62" spans="1:13" ht="19.5">
      <c r="A62"/>
      <c r="B62"/>
      <c r="C62"/>
      <c r="D62"/>
      <c r="E62"/>
      <c r="F62"/>
      <c r="G62"/>
      <c r="H62"/>
      <c r="I62"/>
      <c r="J62"/>
    </row>
    <row r="63" spans="1:13" ht="19.5">
      <c r="A63"/>
      <c r="B63"/>
      <c r="C63"/>
      <c r="D63"/>
      <c r="E63"/>
      <c r="F63"/>
      <c r="G63"/>
      <c r="H63"/>
      <c r="I63"/>
      <c r="J63"/>
    </row>
    <row r="64" spans="1:13" ht="19.5">
      <c r="A64"/>
      <c r="B64"/>
      <c r="C64"/>
      <c r="D64"/>
      <c r="E64"/>
      <c r="F64"/>
      <c r="G64"/>
      <c r="H64"/>
      <c r="I64"/>
      <c r="J64"/>
    </row>
    <row r="65" spans="1:10" ht="19.5">
      <c r="A65"/>
      <c r="B65"/>
      <c r="C65"/>
      <c r="D65"/>
      <c r="E65"/>
      <c r="F65"/>
      <c r="G65"/>
      <c r="H65"/>
      <c r="I65"/>
      <c r="J65"/>
    </row>
    <row r="66" spans="1:10" ht="19.5">
      <c r="A66"/>
      <c r="B66"/>
      <c r="C66"/>
      <c r="D66"/>
      <c r="E66"/>
      <c r="F66"/>
      <c r="G66"/>
      <c r="H66"/>
      <c r="I66"/>
      <c r="J66"/>
    </row>
    <row r="67" spans="1:10" ht="19.5">
      <c r="A67"/>
      <c r="B67"/>
      <c r="C67"/>
      <c r="D67"/>
      <c r="E67"/>
      <c r="F67"/>
      <c r="G67"/>
      <c r="H67"/>
      <c r="I67"/>
      <c r="J67"/>
    </row>
    <row r="68" spans="1:10" ht="19.5">
      <c r="A68"/>
      <c r="B68"/>
      <c r="C68"/>
      <c r="D68"/>
      <c r="E68"/>
      <c r="F68"/>
      <c r="G68"/>
      <c r="H68"/>
      <c r="I68"/>
      <c r="J68"/>
    </row>
    <row r="69" spans="1:10" ht="19.5">
      <c r="A69"/>
      <c r="B69"/>
      <c r="C69"/>
      <c r="D69"/>
      <c r="E69"/>
      <c r="F69"/>
      <c r="G69"/>
      <c r="H69"/>
      <c r="I69"/>
      <c r="J69"/>
    </row>
    <row r="70" spans="1:10" ht="19.5">
      <c r="A70"/>
      <c r="B70"/>
      <c r="C70"/>
      <c r="D70"/>
      <c r="E70"/>
      <c r="F70"/>
      <c r="G70"/>
      <c r="H70"/>
      <c r="I70"/>
      <c r="J70"/>
    </row>
    <row r="71" spans="1:10" ht="19.5">
      <c r="A71"/>
      <c r="B71"/>
      <c r="C71"/>
      <c r="D71"/>
      <c r="E71"/>
      <c r="F71"/>
      <c r="G71"/>
      <c r="H71"/>
      <c r="I71"/>
      <c r="J71"/>
    </row>
    <row r="72" spans="1:10" ht="19.5">
      <c r="A72"/>
      <c r="B72"/>
      <c r="C72"/>
      <c r="D72"/>
      <c r="E72"/>
      <c r="F72"/>
      <c r="G72"/>
      <c r="H72"/>
      <c r="I72"/>
      <c r="J72"/>
    </row>
    <row r="73" spans="1:10" ht="19.5">
      <c r="A73"/>
      <c r="B73"/>
      <c r="C73"/>
      <c r="D73"/>
      <c r="E73"/>
      <c r="F73"/>
      <c r="G73"/>
      <c r="H73"/>
      <c r="I73"/>
      <c r="J73"/>
    </row>
    <row r="74" spans="1:10">
      <c r="B74" s="1"/>
    </row>
    <row r="75" spans="1:10">
      <c r="B75" s="1"/>
    </row>
    <row r="76" spans="1:10">
      <c r="B76" s="1"/>
    </row>
    <row r="77" spans="1:10">
      <c r="B77" s="1"/>
    </row>
    <row r="78" spans="1:10">
      <c r="B78" s="1"/>
    </row>
    <row r="79" spans="1:10">
      <c r="B79" s="1"/>
    </row>
    <row r="80" spans="1:10">
      <c r="B80" s="1"/>
    </row>
    <row r="81" spans="1:14">
      <c r="B81" s="1"/>
    </row>
    <row r="82" spans="1:14">
      <c r="B82" s="1"/>
    </row>
    <row r="83" spans="1:14">
      <c r="B83" s="1"/>
    </row>
    <row r="84" spans="1:14">
      <c r="B84" s="1"/>
    </row>
    <row r="85" spans="1:14">
      <c r="B85" s="1"/>
    </row>
    <row r="86" spans="1:14">
      <c r="B86" s="1"/>
    </row>
    <row r="87" spans="1:14">
      <c r="B87" s="1"/>
    </row>
    <row r="88" spans="1:14">
      <c r="B88" s="1"/>
    </row>
    <row r="89" spans="1:14">
      <c r="B89" s="1"/>
    </row>
    <row r="90" spans="1:14">
      <c r="B90" s="1"/>
    </row>
    <row r="91" spans="1:14">
      <c r="B91" s="1"/>
    </row>
    <row r="92" spans="1:14" ht="19.5">
      <c r="D92"/>
    </row>
    <row r="93" spans="1:14" ht="19.5">
      <c r="D93"/>
    </row>
    <row r="94" spans="1:14" ht="19.5">
      <c r="D94"/>
    </row>
    <row r="95" spans="1:14" ht="19.5">
      <c r="D95"/>
    </row>
    <row r="96" spans="1:14" customFormat="1" ht="19.5">
      <c r="A96" s="1"/>
      <c r="B96" s="7"/>
      <c r="C96" s="1"/>
      <c r="E96" s="1"/>
      <c r="F96" s="1"/>
      <c r="G96" s="1"/>
      <c r="H96" s="1"/>
      <c r="I96" s="1"/>
      <c r="J96" s="1"/>
      <c r="K96" s="1"/>
      <c r="L96" s="1"/>
      <c r="M96" s="1"/>
      <c r="N96" s="1"/>
    </row>
    <row r="97" spans="1:14" customFormat="1" ht="19.5">
      <c r="A97" s="1"/>
      <c r="B97" s="7"/>
      <c r="C97" s="1"/>
      <c r="E97" s="1"/>
      <c r="F97" s="1"/>
      <c r="G97" s="1"/>
      <c r="H97" s="1"/>
      <c r="I97" s="1"/>
      <c r="J97" s="1"/>
      <c r="K97" s="1"/>
      <c r="L97" s="1"/>
      <c r="M97" s="1"/>
      <c r="N97" s="1"/>
    </row>
    <row r="98" spans="1:14" customFormat="1" ht="19.5">
      <c r="A98" s="1"/>
      <c r="B98" s="7"/>
      <c r="C98" s="1"/>
    </row>
    <row r="99" spans="1:14" customFormat="1" ht="19.5">
      <c r="A99" s="1"/>
      <c r="B99" s="7"/>
      <c r="C99" s="1"/>
      <c r="D99" s="1"/>
    </row>
    <row r="100" spans="1:14" customFormat="1" ht="19.5">
      <c r="A100" s="1"/>
      <c r="B100" s="7"/>
      <c r="C100" s="1"/>
      <c r="D100" s="1"/>
    </row>
    <row r="101" spans="1:14" customFormat="1" ht="19.5">
      <c r="A101" s="1"/>
      <c r="B101" s="7"/>
      <c r="C101" s="1"/>
      <c r="D101" s="1"/>
      <c r="E101" s="1"/>
    </row>
    <row r="102" spans="1:14" customFormat="1" ht="19.5">
      <c r="A102" s="1"/>
      <c r="B102" s="7"/>
      <c r="C102" s="1"/>
      <c r="D102" s="1"/>
      <c r="E102" s="1"/>
    </row>
    <row r="103" spans="1:14" ht="19.5">
      <c r="F103"/>
      <c r="G103"/>
      <c r="H103"/>
    </row>
    <row r="104" spans="1:14" ht="19.5">
      <c r="F104"/>
      <c r="G104"/>
      <c r="H104"/>
    </row>
  </sheetData>
  <mergeCells count="9">
    <mergeCell ref="F47:F48"/>
    <mergeCell ref="F51:F52"/>
    <mergeCell ref="F54:F55"/>
    <mergeCell ref="F1:I1"/>
    <mergeCell ref="H19:H20"/>
    <mergeCell ref="H30:H31"/>
    <mergeCell ref="F44:F45"/>
    <mergeCell ref="I19:J21"/>
    <mergeCell ref="I30:J32"/>
  </mergeCells>
  <phoneticPr fontId="7"/>
  <pageMargins left="0.7" right="0.7" top="0.75" bottom="0.75" header="0.3" footer="0.3"/>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915F-21F6-431F-8D35-253072B52042}">
  <sheetPr>
    <tabColor theme="6" tint="-0.249977111117893"/>
  </sheetPr>
  <dimension ref="A1:O225"/>
  <sheetViews>
    <sheetView topLeftCell="A11" workbookViewId="0">
      <selection activeCell="S217" sqref="S217"/>
    </sheetView>
  </sheetViews>
  <sheetFormatPr defaultColWidth="8.75" defaultRowHeight="18.75"/>
  <cols>
    <col min="1" max="1" width="3.875" style="199" customWidth="1"/>
    <col min="2" max="5" width="8.75" style="199"/>
    <col min="6" max="7" width="9.375" style="199" bestFit="1" customWidth="1"/>
    <col min="8" max="8" width="9.25" style="199" customWidth="1"/>
    <col min="9" max="9" width="8.125" style="199" customWidth="1"/>
    <col min="10" max="10" width="12" style="199" bestFit="1" customWidth="1"/>
    <col min="11" max="16384" width="8.75" style="199"/>
  </cols>
  <sheetData>
    <row r="1" spans="1:10">
      <c r="A1" s="199" t="s">
        <v>196</v>
      </c>
      <c r="J1" s="200">
        <v>45636</v>
      </c>
    </row>
    <row r="2" spans="1:10">
      <c r="A2" s="199" t="s">
        <v>197</v>
      </c>
    </row>
    <row r="3" spans="1:10">
      <c r="B3" s="199" t="s">
        <v>198</v>
      </c>
      <c r="H3" s="199" t="s">
        <v>199</v>
      </c>
    </row>
    <row r="4" spans="1:10">
      <c r="B4" s="201" t="s">
        <v>200</v>
      </c>
      <c r="C4" s="201">
        <v>38.9</v>
      </c>
      <c r="D4" s="201" t="s">
        <v>201</v>
      </c>
      <c r="E4" s="202" t="s">
        <v>202</v>
      </c>
      <c r="F4" s="203">
        <v>45</v>
      </c>
      <c r="G4" s="204" t="s">
        <v>203</v>
      </c>
      <c r="H4" s="201">
        <v>0.96699999999999997</v>
      </c>
      <c r="I4" s="201" t="s">
        <v>204</v>
      </c>
    </row>
    <row r="5" spans="1:10">
      <c r="B5" s="201" t="s">
        <v>205</v>
      </c>
      <c r="C5" s="201">
        <v>36.5</v>
      </c>
      <c r="D5" s="201" t="s">
        <v>201</v>
      </c>
      <c r="E5" s="202" t="s">
        <v>206</v>
      </c>
      <c r="F5" s="201">
        <v>40.9</v>
      </c>
      <c r="G5" s="204" t="s">
        <v>203</v>
      </c>
      <c r="H5" s="205" t="s">
        <v>207</v>
      </c>
    </row>
    <row r="6" spans="1:10">
      <c r="B6" s="201" t="s">
        <v>208</v>
      </c>
      <c r="C6" s="201">
        <v>50.1</v>
      </c>
      <c r="D6" s="201" t="s">
        <v>209</v>
      </c>
      <c r="E6" s="202" t="s">
        <v>210</v>
      </c>
      <c r="F6" s="201">
        <v>42.4</v>
      </c>
      <c r="G6" s="204" t="s">
        <v>203</v>
      </c>
      <c r="H6" s="201">
        <v>0.48199999999999998</v>
      </c>
      <c r="I6" s="201" t="s">
        <v>211</v>
      </c>
    </row>
    <row r="7" spans="1:10">
      <c r="B7" s="201"/>
      <c r="C7" s="201"/>
      <c r="D7" s="201"/>
      <c r="E7" s="206" t="s">
        <v>212</v>
      </c>
      <c r="F7" s="201">
        <v>54.7</v>
      </c>
      <c r="G7" s="204" t="s">
        <v>209</v>
      </c>
      <c r="I7" s="207"/>
    </row>
    <row r="8" spans="1:10">
      <c r="B8" s="199" t="s">
        <v>213</v>
      </c>
      <c r="E8" s="208">
        <v>2.4</v>
      </c>
      <c r="F8" s="209" t="s">
        <v>214</v>
      </c>
      <c r="G8" s="210"/>
      <c r="I8" s="207"/>
    </row>
    <row r="9" spans="1:10">
      <c r="G9" s="210"/>
      <c r="I9" s="207"/>
    </row>
    <row r="10" spans="1:10">
      <c r="B10" s="199" t="s">
        <v>215</v>
      </c>
    </row>
    <row r="11" spans="1:10">
      <c r="A11" s="199" t="s">
        <v>216</v>
      </c>
    </row>
    <row r="12" spans="1:10">
      <c r="A12" s="211" t="s">
        <v>217</v>
      </c>
      <c r="B12" s="199" t="s">
        <v>218</v>
      </c>
    </row>
    <row r="13" spans="1:10">
      <c r="A13" s="211" t="s">
        <v>219</v>
      </c>
      <c r="B13" s="199" t="s">
        <v>220</v>
      </c>
    </row>
    <row r="14" spans="1:10">
      <c r="A14" s="211" t="s">
        <v>221</v>
      </c>
      <c r="B14" s="199" t="s">
        <v>222</v>
      </c>
    </row>
    <row r="15" spans="1:10">
      <c r="A15" s="199" t="s">
        <v>223</v>
      </c>
    </row>
    <row r="16" spans="1:10">
      <c r="B16" s="199" t="s">
        <v>224</v>
      </c>
      <c r="C16" s="199" t="s">
        <v>225</v>
      </c>
      <c r="D16" s="199" t="s">
        <v>226</v>
      </c>
    </row>
    <row r="17" spans="1:9">
      <c r="C17" s="199" t="s">
        <v>227</v>
      </c>
      <c r="D17" s="199" t="s">
        <v>228</v>
      </c>
    </row>
    <row r="19" spans="1:9">
      <c r="B19" s="199" t="s">
        <v>229</v>
      </c>
    </row>
    <row r="20" spans="1:9">
      <c r="B20" s="199" t="s">
        <v>230</v>
      </c>
    </row>
    <row r="21" spans="1:9">
      <c r="C21" s="201"/>
      <c r="D21" s="1383" t="s">
        <v>231</v>
      </c>
      <c r="E21" s="1384"/>
      <c r="F21" s="201" t="s">
        <v>232</v>
      </c>
      <c r="G21" s="201"/>
      <c r="H21" s="201" t="s">
        <v>233</v>
      </c>
      <c r="I21" s="201"/>
    </row>
    <row r="22" spans="1:9">
      <c r="C22" s="201" t="s">
        <v>234</v>
      </c>
      <c r="D22" s="1237" t="s">
        <v>200</v>
      </c>
      <c r="E22" s="1239"/>
      <c r="F22" s="201">
        <v>60</v>
      </c>
      <c r="G22" s="201" t="s">
        <v>235</v>
      </c>
      <c r="H22" s="201">
        <v>25</v>
      </c>
      <c r="I22" s="201" t="s">
        <v>236</v>
      </c>
    </row>
    <row r="23" spans="1:9">
      <c r="C23" s="201" t="s">
        <v>237</v>
      </c>
      <c r="D23" s="201" t="s">
        <v>202</v>
      </c>
      <c r="E23" s="201"/>
      <c r="F23" s="201">
        <v>80</v>
      </c>
      <c r="G23" s="201" t="s">
        <v>238</v>
      </c>
      <c r="H23" s="201">
        <v>30</v>
      </c>
      <c r="I23" s="201" t="s">
        <v>236</v>
      </c>
    </row>
    <row r="24" spans="1:9">
      <c r="C24" s="199" t="s">
        <v>239</v>
      </c>
    </row>
    <row r="25" spans="1:9">
      <c r="A25" s="211" t="s">
        <v>217</v>
      </c>
      <c r="B25" s="199" t="s">
        <v>218</v>
      </c>
    </row>
    <row r="26" spans="1:9">
      <c r="C26" s="199" t="s">
        <v>240</v>
      </c>
      <c r="D26" s="199" t="s">
        <v>241</v>
      </c>
      <c r="E26" s="199" t="s">
        <v>242</v>
      </c>
      <c r="F26" s="211"/>
      <c r="G26" s="199">
        <v>100</v>
      </c>
      <c r="H26" s="199" t="s">
        <v>243</v>
      </c>
      <c r="I26" s="212"/>
    </row>
    <row r="27" spans="1:9">
      <c r="D27" s="199" t="s">
        <v>244</v>
      </c>
      <c r="E27" s="199" t="s">
        <v>245</v>
      </c>
      <c r="G27" s="199">
        <v>40</v>
      </c>
      <c r="H27" s="199" t="s">
        <v>246</v>
      </c>
    </row>
    <row r="28" spans="1:9">
      <c r="C28" s="199" t="s">
        <v>247</v>
      </c>
      <c r="D28" s="199" t="s">
        <v>241</v>
      </c>
      <c r="E28" s="199" t="s">
        <v>248</v>
      </c>
      <c r="F28" s="211"/>
      <c r="G28" s="213">
        <v>2</v>
      </c>
      <c r="H28" s="199" t="s">
        <v>249</v>
      </c>
      <c r="I28" s="212"/>
    </row>
    <row r="29" spans="1:9">
      <c r="D29" s="199" t="s">
        <v>244</v>
      </c>
      <c r="E29" s="199" t="s">
        <v>248</v>
      </c>
      <c r="F29" s="211"/>
      <c r="G29" s="213">
        <v>1</v>
      </c>
      <c r="H29" s="199" t="s">
        <v>249</v>
      </c>
    </row>
    <row r="30" spans="1:9">
      <c r="A30" s="211" t="s">
        <v>219</v>
      </c>
      <c r="B30" s="199" t="s">
        <v>220</v>
      </c>
    </row>
    <row r="31" spans="1:9">
      <c r="C31" s="199" t="s">
        <v>240</v>
      </c>
      <c r="D31" s="199" t="s">
        <v>241</v>
      </c>
      <c r="E31" s="199" t="s">
        <v>242</v>
      </c>
      <c r="F31" s="211"/>
      <c r="G31" s="213">
        <f>G$26*$H$4*$F$4/$C4</f>
        <v>111.86375321336762</v>
      </c>
      <c r="H31" s="199" t="s">
        <v>250</v>
      </c>
    </row>
    <row r="32" spans="1:9">
      <c r="D32" s="199" t="s">
        <v>244</v>
      </c>
      <c r="E32" s="199" t="s">
        <v>245</v>
      </c>
      <c r="G32" s="213">
        <f>G27*$H$4*$F$4/$C4</f>
        <v>44.745501285347046</v>
      </c>
      <c r="H32" s="199" t="s">
        <v>250</v>
      </c>
    </row>
    <row r="33" spans="1:9">
      <c r="C33" s="199" t="s">
        <v>247</v>
      </c>
      <c r="D33" s="199" t="s">
        <v>241</v>
      </c>
      <c r="E33" s="199" t="s">
        <v>248</v>
      </c>
      <c r="F33" s="211"/>
      <c r="G33" s="199">
        <v>45</v>
      </c>
      <c r="H33" s="199" t="s">
        <v>251</v>
      </c>
    </row>
    <row r="34" spans="1:9">
      <c r="D34" s="199" t="s">
        <v>244</v>
      </c>
      <c r="E34" s="199" t="s">
        <v>252</v>
      </c>
      <c r="G34" s="199">
        <v>15</v>
      </c>
      <c r="H34" s="199" t="s">
        <v>251</v>
      </c>
    </row>
    <row r="35" spans="1:9">
      <c r="A35" s="211" t="s">
        <v>221</v>
      </c>
      <c r="B35" s="199" t="s">
        <v>222</v>
      </c>
    </row>
    <row r="36" spans="1:9">
      <c r="C36" s="199" t="s">
        <v>240</v>
      </c>
      <c r="D36" s="199" t="s">
        <v>244</v>
      </c>
      <c r="E36" s="199" t="s">
        <v>253</v>
      </c>
      <c r="F36" s="211"/>
      <c r="G36" s="213">
        <f>$G$27*$H$4*$F$4/$C4</f>
        <v>44.745501285347046</v>
      </c>
      <c r="H36" s="199" t="s">
        <v>250</v>
      </c>
    </row>
    <row r="37" spans="1:9">
      <c r="C37" s="199" t="s">
        <v>247</v>
      </c>
      <c r="D37" s="199" t="s">
        <v>244</v>
      </c>
      <c r="E37" s="199" t="s">
        <v>252</v>
      </c>
      <c r="G37" s="199">
        <v>15</v>
      </c>
      <c r="H37" s="199" t="s">
        <v>251</v>
      </c>
    </row>
    <row r="39" spans="1:9">
      <c r="B39" s="199" t="s">
        <v>254</v>
      </c>
    </row>
    <row r="40" spans="1:9">
      <c r="C40" s="1385" t="s">
        <v>255</v>
      </c>
      <c r="D40" s="1385"/>
      <c r="E40" s="1385"/>
      <c r="F40" s="201" t="s">
        <v>256</v>
      </c>
      <c r="G40" s="201" t="s">
        <v>257</v>
      </c>
      <c r="H40" s="201" t="s">
        <v>258</v>
      </c>
      <c r="I40" s="209" t="s">
        <v>259</v>
      </c>
    </row>
    <row r="41" spans="1:9">
      <c r="C41" s="1237" t="s">
        <v>260</v>
      </c>
      <c r="D41" s="1238"/>
      <c r="E41" s="1239"/>
      <c r="F41" s="209" t="s">
        <v>261</v>
      </c>
      <c r="G41" s="209" t="s">
        <v>200</v>
      </c>
      <c r="H41" s="209" t="s">
        <v>200</v>
      </c>
      <c r="I41" s="201"/>
    </row>
    <row r="42" spans="1:9">
      <c r="C42" s="1237" t="s">
        <v>262</v>
      </c>
      <c r="D42" s="1238"/>
      <c r="E42" s="1239"/>
      <c r="F42" s="214">
        <f>G26*$H$4*$F$4</f>
        <v>4351.5</v>
      </c>
      <c r="G42" s="214">
        <f>G31*$C$4</f>
        <v>4351.5</v>
      </c>
      <c r="H42" s="214"/>
      <c r="I42" s="201" t="s">
        <v>263</v>
      </c>
    </row>
    <row r="43" spans="1:9">
      <c r="C43" s="1237" t="s">
        <v>264</v>
      </c>
      <c r="D43" s="1238"/>
      <c r="E43" s="1239"/>
      <c r="F43" s="214">
        <f>G27*$H$4*$F$4</f>
        <v>1740.6</v>
      </c>
      <c r="G43" s="214">
        <f>G32*$C$4</f>
        <v>1740.6000000000001</v>
      </c>
      <c r="H43" s="214">
        <f>G36*C4</f>
        <v>1740.6000000000001</v>
      </c>
      <c r="I43" s="201" t="s">
        <v>263</v>
      </c>
    </row>
    <row r="44" spans="1:9">
      <c r="C44" s="1237" t="s">
        <v>265</v>
      </c>
      <c r="D44" s="1238"/>
      <c r="E44" s="1239"/>
      <c r="F44" s="215">
        <f>G28</f>
        <v>2</v>
      </c>
      <c r="G44" s="201">
        <f>G33</f>
        <v>45</v>
      </c>
      <c r="H44" s="201"/>
      <c r="I44" s="201" t="s">
        <v>251</v>
      </c>
    </row>
    <row r="45" spans="1:9">
      <c r="C45" s="1237" t="s">
        <v>266</v>
      </c>
      <c r="D45" s="1238"/>
      <c r="E45" s="1239"/>
      <c r="F45" s="216">
        <f>G29</f>
        <v>1</v>
      </c>
      <c r="G45" s="201">
        <f>G34</f>
        <v>15</v>
      </c>
      <c r="H45" s="201">
        <f>G37</f>
        <v>15</v>
      </c>
      <c r="I45" s="201" t="s">
        <v>251</v>
      </c>
    </row>
    <row r="46" spans="1:9">
      <c r="B46" s="199" t="s">
        <v>267</v>
      </c>
    </row>
    <row r="47" spans="1:9">
      <c r="A47" s="211" t="s">
        <v>217</v>
      </c>
      <c r="B47" s="199" t="s">
        <v>218</v>
      </c>
      <c r="C47" s="199" t="s">
        <v>268</v>
      </c>
      <c r="G47" s="210" t="s">
        <v>202</v>
      </c>
    </row>
    <row r="48" spans="1:9">
      <c r="C48" s="199" t="s">
        <v>269</v>
      </c>
      <c r="E48" s="199" t="s">
        <v>270</v>
      </c>
      <c r="F48" s="211" t="s">
        <v>271</v>
      </c>
      <c r="G48" s="199">
        <v>100</v>
      </c>
      <c r="H48" s="199" t="s">
        <v>272</v>
      </c>
    </row>
    <row r="49" spans="1:9">
      <c r="C49" s="199" t="s">
        <v>273</v>
      </c>
      <c r="E49" s="199" t="s">
        <v>274</v>
      </c>
      <c r="G49" s="199">
        <v>100</v>
      </c>
      <c r="H49" s="199" t="s">
        <v>272</v>
      </c>
    </row>
    <row r="50" spans="1:9">
      <c r="C50" s="199" t="s">
        <v>275</v>
      </c>
      <c r="E50" s="199" t="s">
        <v>276</v>
      </c>
      <c r="G50" s="217">
        <v>95</v>
      </c>
      <c r="H50" s="199" t="s">
        <v>277</v>
      </c>
      <c r="I50" s="211"/>
    </row>
    <row r="51" spans="1:9">
      <c r="C51" s="199" t="s">
        <v>278</v>
      </c>
      <c r="E51" s="199" t="s">
        <v>279</v>
      </c>
      <c r="G51" s="217">
        <v>85</v>
      </c>
      <c r="H51" s="199" t="s">
        <v>277</v>
      </c>
    </row>
    <row r="52" spans="1:9">
      <c r="C52" s="199" t="s">
        <v>280</v>
      </c>
      <c r="E52" s="199" t="s">
        <v>281</v>
      </c>
      <c r="G52" s="217">
        <v>1.8</v>
      </c>
      <c r="H52" s="199" t="s">
        <v>272</v>
      </c>
    </row>
    <row r="53" spans="1:9">
      <c r="C53" s="199" t="s">
        <v>282</v>
      </c>
      <c r="E53" s="199" t="s">
        <v>283</v>
      </c>
      <c r="G53" s="217">
        <v>1.7</v>
      </c>
      <c r="H53" s="199" t="s">
        <v>272</v>
      </c>
    </row>
    <row r="54" spans="1:9">
      <c r="C54" s="199" t="s">
        <v>284</v>
      </c>
      <c r="E54" s="199" t="s">
        <v>285</v>
      </c>
      <c r="G54" s="218">
        <v>1.6</v>
      </c>
    </row>
    <row r="55" spans="1:9">
      <c r="A55" s="211" t="s">
        <v>219</v>
      </c>
      <c r="B55" s="199" t="s">
        <v>220</v>
      </c>
    </row>
    <row r="56" spans="1:9">
      <c r="A56" s="211"/>
      <c r="C56" s="199" t="s">
        <v>268</v>
      </c>
      <c r="G56" s="199" t="s">
        <v>200</v>
      </c>
    </row>
    <row r="57" spans="1:9">
      <c r="C57" s="199" t="s">
        <v>269</v>
      </c>
      <c r="E57" s="199" t="s">
        <v>270</v>
      </c>
      <c r="F57" s="211" t="s">
        <v>271</v>
      </c>
      <c r="G57" s="213">
        <v>1000</v>
      </c>
      <c r="H57" s="199" t="s">
        <v>272</v>
      </c>
    </row>
    <row r="58" spans="1:9">
      <c r="C58" s="199" t="s">
        <v>273</v>
      </c>
      <c r="E58" s="199" t="s">
        <v>274</v>
      </c>
      <c r="G58" s="199">
        <v>800</v>
      </c>
      <c r="H58" s="199" t="s">
        <v>272</v>
      </c>
    </row>
    <row r="59" spans="1:9">
      <c r="C59" s="199" t="s">
        <v>275</v>
      </c>
      <c r="E59" s="199" t="s">
        <v>276</v>
      </c>
      <c r="F59" s="211" t="s">
        <v>286</v>
      </c>
      <c r="G59" s="217">
        <v>83</v>
      </c>
      <c r="H59" s="199" t="s">
        <v>287</v>
      </c>
    </row>
    <row r="60" spans="1:9">
      <c r="C60" s="199" t="s">
        <v>278</v>
      </c>
      <c r="E60" s="199" t="s">
        <v>279</v>
      </c>
      <c r="F60" s="211" t="s">
        <v>286</v>
      </c>
      <c r="G60" s="217">
        <v>83</v>
      </c>
      <c r="H60" s="199" t="s">
        <v>287</v>
      </c>
    </row>
    <row r="61" spans="1:9">
      <c r="C61" s="199" t="s">
        <v>288</v>
      </c>
      <c r="F61" s="211" t="s">
        <v>289</v>
      </c>
      <c r="G61" s="199">
        <v>7.5</v>
      </c>
      <c r="H61" s="210" t="s">
        <v>272</v>
      </c>
    </row>
    <row r="62" spans="1:9">
      <c r="C62" s="199" t="s">
        <v>290</v>
      </c>
      <c r="F62" s="211" t="s">
        <v>291</v>
      </c>
      <c r="G62" s="199">
        <v>22</v>
      </c>
      <c r="H62" s="210" t="s">
        <v>272</v>
      </c>
    </row>
    <row r="63" spans="1:9">
      <c r="C63" s="199" t="s">
        <v>292</v>
      </c>
      <c r="F63" s="211" t="s">
        <v>293</v>
      </c>
      <c r="G63" s="199">
        <v>15</v>
      </c>
      <c r="H63" s="210" t="s">
        <v>272</v>
      </c>
    </row>
    <row r="64" spans="1:9">
      <c r="A64" s="211" t="s">
        <v>221</v>
      </c>
      <c r="B64" s="199" t="s">
        <v>222</v>
      </c>
    </row>
    <row r="65" spans="1:10">
      <c r="A65" s="211"/>
      <c r="C65" s="199" t="s">
        <v>268</v>
      </c>
      <c r="G65" s="199" t="s">
        <v>200</v>
      </c>
    </row>
    <row r="66" spans="1:10">
      <c r="C66" s="199" t="s">
        <v>294</v>
      </c>
      <c r="E66" s="199" t="s">
        <v>270</v>
      </c>
      <c r="F66" s="211"/>
      <c r="G66" s="213">
        <v>1000</v>
      </c>
      <c r="H66" s="199" t="s">
        <v>272</v>
      </c>
    </row>
    <row r="67" spans="1:10">
      <c r="C67" s="199" t="s">
        <v>275</v>
      </c>
      <c r="E67" s="199" t="s">
        <v>276</v>
      </c>
      <c r="F67" s="211" t="s">
        <v>286</v>
      </c>
      <c r="G67" s="213">
        <v>110</v>
      </c>
      <c r="H67" s="199" t="s">
        <v>287</v>
      </c>
      <c r="J67" s="219"/>
    </row>
    <row r="68" spans="1:10">
      <c r="C68" s="199" t="s">
        <v>292</v>
      </c>
      <c r="F68" s="211" t="s">
        <v>293</v>
      </c>
      <c r="G68" s="199">
        <v>15</v>
      </c>
      <c r="H68" s="210" t="s">
        <v>272</v>
      </c>
    </row>
    <row r="69" spans="1:10">
      <c r="F69" s="211" t="s">
        <v>295</v>
      </c>
      <c r="G69" s="210" t="s">
        <v>296</v>
      </c>
      <c r="I69" s="210"/>
    </row>
    <row r="70" spans="1:10">
      <c r="B70" s="199" t="s">
        <v>297</v>
      </c>
      <c r="C70" s="199" t="s">
        <v>298</v>
      </c>
      <c r="E70" s="211" t="s">
        <v>217</v>
      </c>
      <c r="F70" s="199" t="s">
        <v>218</v>
      </c>
    </row>
    <row r="71" spans="1:10">
      <c r="E71" s="211" t="s">
        <v>219</v>
      </c>
      <c r="F71" s="199" t="s">
        <v>220</v>
      </c>
    </row>
    <row r="72" spans="1:10">
      <c r="E72" s="211" t="s">
        <v>221</v>
      </c>
      <c r="F72" s="199" t="s">
        <v>222</v>
      </c>
    </row>
    <row r="73" spans="1:10">
      <c r="E73" s="211" t="s">
        <v>299</v>
      </c>
      <c r="F73" s="199" t="s">
        <v>300</v>
      </c>
    </row>
    <row r="74" spans="1:10">
      <c r="E74" s="211" t="s">
        <v>301</v>
      </c>
      <c r="F74" s="199" t="s">
        <v>302</v>
      </c>
    </row>
    <row r="75" spans="1:10">
      <c r="E75" s="211" t="s">
        <v>303</v>
      </c>
      <c r="F75" s="199" t="s">
        <v>304</v>
      </c>
    </row>
    <row r="76" spans="1:10">
      <c r="E76" s="211" t="s">
        <v>305</v>
      </c>
      <c r="F76" s="199" t="s">
        <v>306</v>
      </c>
    </row>
    <row r="77" spans="1:10">
      <c r="B77" s="199" t="s">
        <v>307</v>
      </c>
    </row>
    <row r="78" spans="1:10">
      <c r="A78" s="211" t="s">
        <v>217</v>
      </c>
      <c r="B78" s="199" t="s">
        <v>218</v>
      </c>
      <c r="D78" s="199" t="s">
        <v>268</v>
      </c>
      <c r="G78" s="199" t="s">
        <v>202</v>
      </c>
    </row>
    <row r="79" spans="1:10">
      <c r="C79" s="199" t="s">
        <v>269</v>
      </c>
      <c r="E79" s="199" t="s">
        <v>308</v>
      </c>
      <c r="F79" s="211" t="s">
        <v>271</v>
      </c>
      <c r="G79" s="199">
        <v>100</v>
      </c>
      <c r="H79" s="199" t="s">
        <v>272</v>
      </c>
    </row>
    <row r="80" spans="1:10">
      <c r="C80" s="199" t="s">
        <v>273</v>
      </c>
      <c r="E80" s="199" t="s">
        <v>309</v>
      </c>
      <c r="G80" s="199">
        <v>100</v>
      </c>
      <c r="H80" s="199" t="s">
        <v>272</v>
      </c>
    </row>
    <row r="81" spans="1:11">
      <c r="C81" s="199" t="s">
        <v>275</v>
      </c>
      <c r="E81" s="199" t="s">
        <v>310</v>
      </c>
      <c r="G81" s="199">
        <v>85</v>
      </c>
      <c r="H81" s="199" t="s">
        <v>272</v>
      </c>
    </row>
    <row r="82" spans="1:11">
      <c r="C82" s="199" t="s">
        <v>278</v>
      </c>
      <c r="E82" s="199" t="s">
        <v>311</v>
      </c>
      <c r="G82" s="199">
        <v>80</v>
      </c>
      <c r="H82" s="199" t="s">
        <v>272</v>
      </c>
    </row>
    <row r="83" spans="1:11">
      <c r="C83" s="199" t="s">
        <v>280</v>
      </c>
      <c r="E83" s="199" t="s">
        <v>312</v>
      </c>
      <c r="G83" s="217">
        <v>1.8</v>
      </c>
      <c r="H83" s="199" t="s">
        <v>272</v>
      </c>
    </row>
    <row r="84" spans="1:11">
      <c r="C84" s="199" t="s">
        <v>282</v>
      </c>
      <c r="E84" s="199" t="s">
        <v>313</v>
      </c>
      <c r="G84" s="217">
        <v>1.7</v>
      </c>
      <c r="H84" s="199" t="s">
        <v>272</v>
      </c>
    </row>
    <row r="85" spans="1:11">
      <c r="C85" s="199" t="s">
        <v>284</v>
      </c>
      <c r="E85" s="199" t="s">
        <v>314</v>
      </c>
      <c r="G85" s="199">
        <v>2.1</v>
      </c>
    </row>
    <row r="86" spans="1:11">
      <c r="A86" s="211" t="s">
        <v>219</v>
      </c>
      <c r="B86" s="199" t="s">
        <v>220</v>
      </c>
      <c r="D86" s="199" t="s">
        <v>268</v>
      </c>
      <c r="G86" s="220" t="s">
        <v>208</v>
      </c>
    </row>
    <row r="87" spans="1:11">
      <c r="C87" s="199" t="s">
        <v>269</v>
      </c>
      <c r="E87" s="199" t="s">
        <v>308</v>
      </c>
      <c r="F87" s="211" t="s">
        <v>271</v>
      </c>
      <c r="G87" s="213">
        <v>1000</v>
      </c>
      <c r="H87" s="199" t="s">
        <v>272</v>
      </c>
    </row>
    <row r="88" spans="1:11">
      <c r="C88" s="199" t="s">
        <v>273</v>
      </c>
      <c r="E88" s="199" t="s">
        <v>309</v>
      </c>
      <c r="G88" s="199">
        <v>800</v>
      </c>
      <c r="H88" s="199" t="s">
        <v>272</v>
      </c>
      <c r="J88" s="220"/>
      <c r="K88" s="220"/>
    </row>
    <row r="89" spans="1:11">
      <c r="C89" s="199" t="s">
        <v>275</v>
      </c>
      <c r="E89" s="199" t="s">
        <v>310</v>
      </c>
      <c r="F89" s="211" t="s">
        <v>286</v>
      </c>
      <c r="G89" s="221">
        <v>55</v>
      </c>
      <c r="H89" s="199" t="s">
        <v>315</v>
      </c>
      <c r="J89" s="213"/>
    </row>
    <row r="90" spans="1:11">
      <c r="C90" s="199" t="s">
        <v>278</v>
      </c>
      <c r="E90" s="199" t="s">
        <v>311</v>
      </c>
      <c r="F90" s="211" t="s">
        <v>286</v>
      </c>
      <c r="G90" s="199">
        <v>64</v>
      </c>
      <c r="H90" s="199" t="s">
        <v>315</v>
      </c>
      <c r="J90" s="213"/>
    </row>
    <row r="91" spans="1:11">
      <c r="C91" s="199" t="s">
        <v>288</v>
      </c>
      <c r="F91" s="211" t="s">
        <v>316</v>
      </c>
      <c r="G91" s="199">
        <v>7.5</v>
      </c>
      <c r="H91" s="210" t="s">
        <v>272</v>
      </c>
    </row>
    <row r="92" spans="1:11">
      <c r="C92" s="199" t="s">
        <v>290</v>
      </c>
      <c r="F92" s="211" t="s">
        <v>317</v>
      </c>
      <c r="G92" s="199">
        <v>22</v>
      </c>
      <c r="H92" s="210" t="s">
        <v>272</v>
      </c>
    </row>
    <row r="93" spans="1:11">
      <c r="C93" s="199" t="s">
        <v>292</v>
      </c>
      <c r="F93" s="211" t="s">
        <v>318</v>
      </c>
      <c r="G93" s="199">
        <v>15</v>
      </c>
      <c r="H93" s="210" t="s">
        <v>272</v>
      </c>
    </row>
    <row r="94" spans="1:11">
      <c r="A94" s="211" t="s">
        <v>221</v>
      </c>
      <c r="B94" s="199" t="s">
        <v>222</v>
      </c>
      <c r="D94" s="199" t="s">
        <v>268</v>
      </c>
      <c r="G94" s="220" t="s">
        <v>212</v>
      </c>
    </row>
    <row r="95" spans="1:11">
      <c r="C95" s="199" t="s">
        <v>294</v>
      </c>
      <c r="E95" s="199" t="s">
        <v>308</v>
      </c>
      <c r="F95" s="211"/>
      <c r="G95" s="213">
        <v>1000</v>
      </c>
      <c r="H95" s="199" t="s">
        <v>272</v>
      </c>
    </row>
    <row r="96" spans="1:11">
      <c r="C96" s="199" t="s">
        <v>275</v>
      </c>
      <c r="E96" s="199" t="s">
        <v>310</v>
      </c>
      <c r="F96" s="211" t="s">
        <v>286</v>
      </c>
      <c r="G96" s="222">
        <v>73</v>
      </c>
      <c r="H96" s="199" t="s">
        <v>319</v>
      </c>
    </row>
    <row r="97" spans="1:10">
      <c r="C97" s="199" t="s">
        <v>320</v>
      </c>
      <c r="F97" s="211" t="s">
        <v>318</v>
      </c>
      <c r="G97" s="199">
        <v>15</v>
      </c>
      <c r="H97" s="210" t="s">
        <v>272</v>
      </c>
    </row>
    <row r="98" spans="1:10">
      <c r="A98" s="211" t="s">
        <v>299</v>
      </c>
      <c r="B98" s="199" t="s">
        <v>300</v>
      </c>
      <c r="C98" s="199" t="s">
        <v>269</v>
      </c>
      <c r="E98" s="199" t="s">
        <v>308</v>
      </c>
      <c r="F98" s="211"/>
      <c r="G98" s="199">
        <v>100</v>
      </c>
      <c r="H98" s="199" t="s">
        <v>272</v>
      </c>
      <c r="I98" s="199">
        <v>10</v>
      </c>
      <c r="J98" s="199" t="s">
        <v>321</v>
      </c>
    </row>
    <row r="99" spans="1:10">
      <c r="A99" s="211"/>
      <c r="C99" s="199" t="s">
        <v>273</v>
      </c>
      <c r="E99" s="199" t="s">
        <v>309</v>
      </c>
      <c r="G99" s="199">
        <v>100</v>
      </c>
      <c r="H99" s="199" t="s">
        <v>272</v>
      </c>
    </row>
    <row r="100" spans="1:10">
      <c r="A100" s="211"/>
      <c r="C100" s="199" t="s">
        <v>322</v>
      </c>
      <c r="E100" s="199" t="s">
        <v>310</v>
      </c>
      <c r="G100" s="199">
        <v>30</v>
      </c>
      <c r="H100" s="199" t="s">
        <v>272</v>
      </c>
    </row>
    <row r="101" spans="1:10">
      <c r="A101" s="211"/>
      <c r="C101" s="199" t="s">
        <v>323</v>
      </c>
      <c r="E101" s="199" t="s">
        <v>311</v>
      </c>
      <c r="G101" s="199">
        <v>25</v>
      </c>
      <c r="H101" s="199" t="s">
        <v>272</v>
      </c>
    </row>
    <row r="102" spans="1:10">
      <c r="C102" s="199" t="s">
        <v>284</v>
      </c>
      <c r="E102" s="199" t="s">
        <v>314</v>
      </c>
      <c r="G102" s="199">
        <v>5.5</v>
      </c>
    </row>
    <row r="103" spans="1:10">
      <c r="A103" s="211" t="s">
        <v>301</v>
      </c>
      <c r="B103" s="199" t="s">
        <v>302</v>
      </c>
    </row>
    <row r="104" spans="1:10">
      <c r="A104" s="211"/>
      <c r="C104" s="199" t="s">
        <v>269</v>
      </c>
      <c r="E104" s="199" t="s">
        <v>308</v>
      </c>
      <c r="F104" s="211"/>
      <c r="G104" s="213">
        <v>150</v>
      </c>
      <c r="H104" s="199" t="s">
        <v>272</v>
      </c>
      <c r="I104" s="199">
        <v>6</v>
      </c>
      <c r="J104" s="199" t="s">
        <v>321</v>
      </c>
    </row>
    <row r="105" spans="1:10">
      <c r="A105" s="211"/>
      <c r="C105" s="199" t="s">
        <v>273</v>
      </c>
      <c r="E105" s="199" t="s">
        <v>309</v>
      </c>
      <c r="G105" s="199">
        <v>170</v>
      </c>
      <c r="H105" s="199" t="s">
        <v>272</v>
      </c>
    </row>
    <row r="106" spans="1:10">
      <c r="A106" s="211"/>
      <c r="C106" s="199" t="s">
        <v>322</v>
      </c>
      <c r="E106" s="199" t="s">
        <v>310</v>
      </c>
      <c r="G106" s="199">
        <v>58</v>
      </c>
      <c r="H106" s="199" t="s">
        <v>272</v>
      </c>
    </row>
    <row r="107" spans="1:10">
      <c r="A107" s="211"/>
      <c r="C107" s="199" t="s">
        <v>323</v>
      </c>
      <c r="E107" s="199" t="s">
        <v>311</v>
      </c>
      <c r="G107" s="199">
        <v>52</v>
      </c>
      <c r="H107" s="199" t="s">
        <v>272</v>
      </c>
    </row>
    <row r="108" spans="1:10">
      <c r="C108" s="199" t="s">
        <v>320</v>
      </c>
      <c r="F108" s="211" t="s">
        <v>318</v>
      </c>
      <c r="G108" s="199">
        <v>15</v>
      </c>
      <c r="H108" s="210" t="s">
        <v>272</v>
      </c>
    </row>
    <row r="109" spans="1:10">
      <c r="A109" s="211" t="s">
        <v>303</v>
      </c>
      <c r="B109" s="199" t="s">
        <v>304</v>
      </c>
      <c r="F109" s="211"/>
      <c r="G109" s="217"/>
    </row>
    <row r="110" spans="1:10">
      <c r="A110" s="211"/>
      <c r="C110" s="199" t="s">
        <v>269</v>
      </c>
      <c r="E110" s="199" t="s">
        <v>308</v>
      </c>
      <c r="F110" s="211"/>
      <c r="G110" s="213">
        <v>150</v>
      </c>
      <c r="H110" s="199" t="s">
        <v>272</v>
      </c>
      <c r="I110" s="199">
        <v>6</v>
      </c>
      <c r="J110" s="199" t="s">
        <v>321</v>
      </c>
    </row>
    <row r="111" spans="1:10">
      <c r="A111" s="211"/>
      <c r="C111" s="199" t="s">
        <v>273</v>
      </c>
      <c r="E111" s="199" t="s">
        <v>309</v>
      </c>
      <c r="G111" s="199">
        <v>170</v>
      </c>
      <c r="H111" s="199" t="s">
        <v>272</v>
      </c>
      <c r="I111" s="211" t="s">
        <v>324</v>
      </c>
    </row>
    <row r="112" spans="1:10">
      <c r="A112" s="211"/>
      <c r="C112" s="199" t="s">
        <v>322</v>
      </c>
      <c r="E112" s="199" t="s">
        <v>310</v>
      </c>
      <c r="G112" s="199">
        <v>33</v>
      </c>
      <c r="H112" s="199" t="s">
        <v>272</v>
      </c>
      <c r="I112" s="218">
        <f>G110/G112</f>
        <v>4.5454545454545459</v>
      </c>
    </row>
    <row r="113" spans="1:10">
      <c r="A113" s="211"/>
      <c r="C113" s="199" t="s">
        <v>323</v>
      </c>
      <c r="E113" s="199" t="s">
        <v>311</v>
      </c>
      <c r="G113" s="199">
        <v>40</v>
      </c>
      <c r="H113" s="199" t="s">
        <v>272</v>
      </c>
      <c r="I113" s="218">
        <f>G111/G113</f>
        <v>4.25</v>
      </c>
      <c r="J113" s="199" t="s">
        <v>325</v>
      </c>
    </row>
    <row r="114" spans="1:10">
      <c r="C114" s="199" t="s">
        <v>288</v>
      </c>
      <c r="F114" s="211" t="s">
        <v>316</v>
      </c>
      <c r="G114" s="199">
        <v>5.5</v>
      </c>
      <c r="H114" s="210" t="s">
        <v>272</v>
      </c>
    </row>
    <row r="115" spans="1:10">
      <c r="C115" s="199" t="s">
        <v>290</v>
      </c>
      <c r="F115" s="211" t="s">
        <v>317</v>
      </c>
      <c r="G115" s="199">
        <v>15</v>
      </c>
      <c r="H115" s="210" t="s">
        <v>272</v>
      </c>
    </row>
    <row r="116" spans="1:10">
      <c r="C116" s="199" t="s">
        <v>292</v>
      </c>
      <c r="F116" s="211" t="s">
        <v>318</v>
      </c>
      <c r="G116" s="199">
        <v>15</v>
      </c>
      <c r="H116" s="210" t="s">
        <v>272</v>
      </c>
    </row>
    <row r="117" spans="1:10">
      <c r="C117" s="199" t="s">
        <v>326</v>
      </c>
      <c r="F117" s="211" t="s">
        <v>327</v>
      </c>
      <c r="G117" s="199">
        <v>11</v>
      </c>
      <c r="H117" s="210" t="s">
        <v>272</v>
      </c>
    </row>
    <row r="118" spans="1:10">
      <c r="A118" s="211" t="s">
        <v>305</v>
      </c>
      <c r="B118" s="199" t="s">
        <v>306</v>
      </c>
      <c r="F118" s="211"/>
      <c r="G118" s="217"/>
    </row>
    <row r="119" spans="1:10">
      <c r="A119" s="211"/>
      <c r="C119" s="199" t="s">
        <v>269</v>
      </c>
      <c r="E119" s="199" t="s">
        <v>308</v>
      </c>
      <c r="F119" s="211"/>
      <c r="G119" s="213">
        <v>1000</v>
      </c>
      <c r="H119" s="199" t="s">
        <v>272</v>
      </c>
    </row>
    <row r="120" spans="1:10">
      <c r="A120" s="211"/>
      <c r="C120" s="199" t="s">
        <v>322</v>
      </c>
      <c r="E120" s="199" t="s">
        <v>310</v>
      </c>
      <c r="G120" s="199">
        <v>165</v>
      </c>
      <c r="H120" s="199" t="s">
        <v>272</v>
      </c>
      <c r="I120" s="218"/>
    </row>
    <row r="121" spans="1:10">
      <c r="C121" s="199" t="s">
        <v>288</v>
      </c>
      <c r="F121" s="211" t="s">
        <v>316</v>
      </c>
      <c r="G121" s="199">
        <v>5.5</v>
      </c>
      <c r="H121" s="210" t="s">
        <v>272</v>
      </c>
    </row>
    <row r="122" spans="1:10">
      <c r="C122" s="199" t="s">
        <v>290</v>
      </c>
      <c r="F122" s="211" t="s">
        <v>317</v>
      </c>
      <c r="G122" s="199">
        <v>15</v>
      </c>
      <c r="H122" s="210" t="s">
        <v>272</v>
      </c>
    </row>
    <row r="123" spans="1:10">
      <c r="C123" s="199" t="s">
        <v>292</v>
      </c>
      <c r="F123" s="211" t="s">
        <v>318</v>
      </c>
      <c r="G123" s="199">
        <v>15</v>
      </c>
      <c r="H123" s="210" t="s">
        <v>272</v>
      </c>
    </row>
    <row r="124" spans="1:10">
      <c r="F124" s="211" t="s">
        <v>295</v>
      </c>
      <c r="G124" s="210" t="s">
        <v>296</v>
      </c>
      <c r="I124" s="210"/>
    </row>
    <row r="125" spans="1:10">
      <c r="B125" s="199" t="s">
        <v>328</v>
      </c>
      <c r="E125" s="211"/>
    </row>
    <row r="126" spans="1:10">
      <c r="B126" s="199" t="s">
        <v>329</v>
      </c>
      <c r="D126" s="199" t="s">
        <v>226</v>
      </c>
      <c r="E126" s="211"/>
    </row>
    <row r="127" spans="1:10">
      <c r="A127" s="211" t="s">
        <v>217</v>
      </c>
      <c r="B127" s="199" t="s">
        <v>330</v>
      </c>
      <c r="C127" s="199">
        <v>80</v>
      </c>
      <c r="D127" s="199" t="s">
        <v>331</v>
      </c>
    </row>
    <row r="128" spans="1:10">
      <c r="A128" s="211" t="s">
        <v>219</v>
      </c>
      <c r="B128" s="199" t="s">
        <v>332</v>
      </c>
      <c r="C128" s="199">
        <v>70</v>
      </c>
      <c r="D128" s="199" t="s">
        <v>331</v>
      </c>
    </row>
    <row r="129" spans="1:7">
      <c r="A129" s="211" t="s">
        <v>221</v>
      </c>
      <c r="B129" s="199" t="s">
        <v>210</v>
      </c>
      <c r="C129" s="199">
        <v>75</v>
      </c>
      <c r="D129" s="199" t="s">
        <v>331</v>
      </c>
    </row>
    <row r="130" spans="1:7">
      <c r="A130" s="211" t="s">
        <v>299</v>
      </c>
      <c r="B130" s="199" t="s">
        <v>212</v>
      </c>
      <c r="C130" s="199">
        <v>90</v>
      </c>
      <c r="D130" s="199" t="s">
        <v>331</v>
      </c>
    </row>
    <row r="131" spans="1:7">
      <c r="A131" s="211" t="s">
        <v>301</v>
      </c>
      <c r="B131" s="199" t="s">
        <v>208</v>
      </c>
      <c r="C131" s="199">
        <v>140</v>
      </c>
      <c r="D131" s="199" t="s">
        <v>333</v>
      </c>
    </row>
    <row r="132" spans="1:7">
      <c r="A132" s="211" t="s">
        <v>303</v>
      </c>
      <c r="B132" s="199" t="s">
        <v>205</v>
      </c>
      <c r="C132" s="199">
        <v>80</v>
      </c>
      <c r="D132" s="199" t="s">
        <v>235</v>
      </c>
    </row>
    <row r="133" spans="1:7">
      <c r="A133" s="211" t="s">
        <v>305</v>
      </c>
      <c r="B133" s="199" t="s">
        <v>200</v>
      </c>
      <c r="C133" s="199">
        <v>60</v>
      </c>
      <c r="D133" s="199" t="s">
        <v>235</v>
      </c>
    </row>
    <row r="134" spans="1:7">
      <c r="A134" s="211" t="s">
        <v>334</v>
      </c>
      <c r="B134" s="199" t="s">
        <v>335</v>
      </c>
      <c r="C134" s="199">
        <v>25</v>
      </c>
      <c r="D134" s="199" t="s">
        <v>236</v>
      </c>
    </row>
    <row r="137" spans="1:7">
      <c r="A137" s="210" t="s">
        <v>336</v>
      </c>
    </row>
    <row r="138" spans="1:7">
      <c r="A138" s="210"/>
      <c r="B138" s="199" t="s">
        <v>337</v>
      </c>
    </row>
    <row r="139" spans="1:7">
      <c r="A139" s="210"/>
      <c r="B139" s="201" t="s">
        <v>200</v>
      </c>
      <c r="C139" s="201">
        <v>6.8900000000000003E-2</v>
      </c>
      <c r="D139" s="201" t="s">
        <v>338</v>
      </c>
      <c r="E139" s="202" t="s">
        <v>202</v>
      </c>
      <c r="F139" s="223">
        <v>5.1299999999999998E-2</v>
      </c>
      <c r="G139" s="204" t="s">
        <v>338</v>
      </c>
    </row>
    <row r="140" spans="1:7">
      <c r="A140" s="210"/>
      <c r="B140" s="201" t="s">
        <v>205</v>
      </c>
      <c r="C140" s="201">
        <v>6.8599999999999994E-2</v>
      </c>
      <c r="D140" s="201" t="s">
        <v>338</v>
      </c>
      <c r="E140" s="202" t="s">
        <v>206</v>
      </c>
      <c r="F140" s="201"/>
      <c r="G140" s="204" t="s">
        <v>338</v>
      </c>
    </row>
    <row r="141" spans="1:7">
      <c r="A141" s="210"/>
      <c r="B141" s="201" t="s">
        <v>208</v>
      </c>
      <c r="C141" s="201">
        <v>6.0100000000000001E-2</v>
      </c>
      <c r="D141" s="201" t="s">
        <v>338</v>
      </c>
      <c r="E141" s="202" t="s">
        <v>210</v>
      </c>
      <c r="F141" s="223">
        <v>5.0999999999999997E-2</v>
      </c>
      <c r="G141" s="204" t="s">
        <v>338</v>
      </c>
    </row>
    <row r="142" spans="1:7">
      <c r="A142" s="210"/>
      <c r="B142" s="201"/>
      <c r="D142" s="201"/>
      <c r="E142" s="206" t="s">
        <v>212</v>
      </c>
      <c r="F142" s="223">
        <v>5.0999999999999997E-2</v>
      </c>
      <c r="G142" s="204" t="s">
        <v>338</v>
      </c>
    </row>
    <row r="143" spans="1:7">
      <c r="A143" s="210"/>
      <c r="B143" s="201" t="s">
        <v>339</v>
      </c>
      <c r="C143" s="201"/>
      <c r="D143" s="201">
        <v>0.40799999999999997</v>
      </c>
      <c r="E143" s="201" t="s">
        <v>340</v>
      </c>
      <c r="F143" s="201"/>
      <c r="G143" s="201" t="s">
        <v>341</v>
      </c>
    </row>
    <row r="144" spans="1:7">
      <c r="A144" s="210"/>
    </row>
    <row r="145" spans="1:9">
      <c r="A145" s="210"/>
    </row>
    <row r="146" spans="1:9">
      <c r="A146" s="210"/>
    </row>
    <row r="147" spans="1:9">
      <c r="A147" s="210"/>
    </row>
    <row r="148" spans="1:9">
      <c r="A148" s="210"/>
    </row>
    <row r="149" spans="1:9">
      <c r="A149" s="210"/>
    </row>
    <row r="150" spans="1:9">
      <c r="A150" s="210"/>
    </row>
    <row r="151" spans="1:9">
      <c r="A151" s="210"/>
    </row>
    <row r="152" spans="1:9">
      <c r="A152" s="210"/>
    </row>
    <row r="153" spans="1:9">
      <c r="A153" s="210"/>
    </row>
    <row r="154" spans="1:9">
      <c r="A154" s="210"/>
    </row>
    <row r="155" spans="1:9">
      <c r="A155" s="210"/>
    </row>
    <row r="156" spans="1:9">
      <c r="A156" s="210"/>
    </row>
    <row r="157" spans="1:9">
      <c r="B157" s="199" t="s">
        <v>342</v>
      </c>
    </row>
    <row r="158" spans="1:9" ht="37.5">
      <c r="B158" s="201" t="s">
        <v>343</v>
      </c>
      <c r="C158" s="201"/>
      <c r="D158" s="201"/>
      <c r="E158" s="201"/>
      <c r="F158" s="209" t="s">
        <v>218</v>
      </c>
      <c r="G158" s="209" t="s">
        <v>218</v>
      </c>
      <c r="H158" s="224" t="s">
        <v>344</v>
      </c>
      <c r="I158" s="209" t="s">
        <v>222</v>
      </c>
    </row>
    <row r="159" spans="1:9">
      <c r="B159" s="201" t="s">
        <v>268</v>
      </c>
      <c r="C159" s="201"/>
      <c r="D159" s="201"/>
      <c r="E159" s="201"/>
      <c r="F159" s="209" t="s">
        <v>345</v>
      </c>
      <c r="G159" s="209" t="s">
        <v>345</v>
      </c>
      <c r="H159" s="224" t="s">
        <v>200</v>
      </c>
      <c r="I159" s="224" t="s">
        <v>200</v>
      </c>
    </row>
    <row r="160" spans="1:9">
      <c r="B160" s="201" t="s">
        <v>346</v>
      </c>
      <c r="C160" s="201"/>
      <c r="D160" s="201"/>
      <c r="E160" s="209" t="s">
        <v>272</v>
      </c>
      <c r="F160" s="201">
        <f>G48</f>
        <v>100</v>
      </c>
      <c r="G160" s="201" t="s">
        <v>347</v>
      </c>
      <c r="H160" s="215">
        <f>G57</f>
        <v>1000</v>
      </c>
      <c r="I160" s="201"/>
    </row>
    <row r="161" spans="2:9">
      <c r="B161" s="201" t="s">
        <v>273</v>
      </c>
      <c r="C161" s="201"/>
      <c r="D161" s="201"/>
      <c r="E161" s="209" t="s">
        <v>272</v>
      </c>
      <c r="F161" s="201">
        <f>G49</f>
        <v>100</v>
      </c>
      <c r="G161" s="201" t="s">
        <v>348</v>
      </c>
      <c r="H161" s="215">
        <f>G58</f>
        <v>800</v>
      </c>
      <c r="I161" s="215">
        <f>G66</f>
        <v>1000</v>
      </c>
    </row>
    <row r="162" spans="2:9">
      <c r="B162" s="201" t="s">
        <v>275</v>
      </c>
      <c r="C162" s="201"/>
      <c r="D162" s="201"/>
      <c r="E162" s="209" t="s">
        <v>272</v>
      </c>
      <c r="F162" s="203">
        <f>G50</f>
        <v>95</v>
      </c>
      <c r="G162" s="203"/>
      <c r="H162" s="215">
        <f>G59*$C$4/3.6</f>
        <v>896.86111111111109</v>
      </c>
      <c r="I162" s="215"/>
    </row>
    <row r="163" spans="2:9">
      <c r="B163" s="201" t="s">
        <v>278</v>
      </c>
      <c r="C163" s="201"/>
      <c r="D163" s="201"/>
      <c r="E163" s="209" t="s">
        <v>272</v>
      </c>
      <c r="F163" s="203">
        <f>G51</f>
        <v>85</v>
      </c>
      <c r="G163" s="203"/>
      <c r="H163" s="215">
        <f>G60*$C$4/3.6</f>
        <v>896.86111111111109</v>
      </c>
      <c r="I163" s="215">
        <f>G67*$C$4/3.6</f>
        <v>1188.6111111111111</v>
      </c>
    </row>
    <row r="164" spans="2:9">
      <c r="B164" s="201" t="s">
        <v>349</v>
      </c>
      <c r="C164" s="201"/>
      <c r="D164" s="201"/>
      <c r="E164" s="225" t="s">
        <v>350</v>
      </c>
      <c r="F164" s="208">
        <f>F160/F162</f>
        <v>1.0526315789473684</v>
      </c>
      <c r="G164" s="208"/>
      <c r="H164" s="208">
        <f>H160/H162</f>
        <v>1.1149998451389105</v>
      </c>
      <c r="I164" s="208"/>
    </row>
    <row r="165" spans="2:9">
      <c r="B165" s="201" t="s">
        <v>351</v>
      </c>
      <c r="C165" s="201"/>
      <c r="D165" s="201"/>
      <c r="E165" s="225" t="s">
        <v>350</v>
      </c>
      <c r="F165" s="208">
        <f>F161/F163</f>
        <v>1.1764705882352942</v>
      </c>
      <c r="G165" s="208"/>
      <c r="H165" s="208">
        <f>H161/H163</f>
        <v>0.8919998761111283</v>
      </c>
      <c r="I165" s="208">
        <f>I161/I163</f>
        <v>0.84131806496845063</v>
      </c>
    </row>
    <row r="166" spans="2:9">
      <c r="B166" s="201" t="s">
        <v>288</v>
      </c>
      <c r="C166" s="201"/>
      <c r="D166" s="201"/>
      <c r="E166" s="209" t="s">
        <v>272</v>
      </c>
      <c r="F166" s="201"/>
      <c r="G166" s="201"/>
      <c r="H166" s="201">
        <f>G61</f>
        <v>7.5</v>
      </c>
      <c r="I166" s="201"/>
    </row>
    <row r="167" spans="2:9">
      <c r="B167" s="201" t="s">
        <v>290</v>
      </c>
      <c r="C167" s="201"/>
      <c r="D167" s="201"/>
      <c r="E167" s="209" t="s">
        <v>272</v>
      </c>
      <c r="F167" s="201"/>
      <c r="G167" s="201"/>
      <c r="H167" s="201">
        <f>G62</f>
        <v>22</v>
      </c>
      <c r="I167" s="201"/>
    </row>
    <row r="168" spans="2:9">
      <c r="B168" s="201" t="s">
        <v>292</v>
      </c>
      <c r="C168" s="201"/>
      <c r="D168" s="201"/>
      <c r="E168" s="209" t="s">
        <v>272</v>
      </c>
      <c r="F168" s="201"/>
      <c r="G168" s="201"/>
      <c r="H168" s="201">
        <f>G63</f>
        <v>15</v>
      </c>
      <c r="I168" s="201"/>
    </row>
    <row r="169" spans="2:9">
      <c r="B169" s="201" t="s">
        <v>285</v>
      </c>
      <c r="C169" s="201"/>
      <c r="D169" s="201"/>
      <c r="E169" s="225" t="s">
        <v>350</v>
      </c>
      <c r="G169" s="208">
        <f>G54</f>
        <v>1.6</v>
      </c>
      <c r="H169" s="201"/>
      <c r="I169" s="201"/>
    </row>
    <row r="170" spans="2:9">
      <c r="B170" s="226" t="s">
        <v>352</v>
      </c>
      <c r="C170" s="201"/>
      <c r="D170" s="201"/>
      <c r="E170" s="201" t="s">
        <v>263</v>
      </c>
      <c r="F170" s="215">
        <f>F42</f>
        <v>4351.5</v>
      </c>
      <c r="G170" s="215">
        <f>F170</f>
        <v>4351.5</v>
      </c>
      <c r="H170" s="215">
        <f>G42</f>
        <v>4351.5</v>
      </c>
      <c r="I170" s="201"/>
    </row>
    <row r="171" spans="2:9">
      <c r="B171" s="201" t="s">
        <v>353</v>
      </c>
      <c r="C171" s="201"/>
      <c r="D171" s="201"/>
      <c r="E171" s="227" t="s">
        <v>354</v>
      </c>
      <c r="F171" s="214">
        <f>F170/$F$4/$H$4</f>
        <v>100</v>
      </c>
      <c r="G171" s="215">
        <f t="shared" ref="G171:G175" si="0">F171</f>
        <v>100</v>
      </c>
      <c r="H171" s="214">
        <f>H170/$C$4</f>
        <v>111.86375321336762</v>
      </c>
      <c r="I171" s="201"/>
    </row>
    <row r="172" spans="2:9">
      <c r="B172" s="226" t="s">
        <v>355</v>
      </c>
      <c r="C172" s="201"/>
      <c r="D172" s="201"/>
      <c r="E172" s="201" t="s">
        <v>263</v>
      </c>
      <c r="F172" s="215">
        <f>F43</f>
        <v>1740.6</v>
      </c>
      <c r="G172" s="215">
        <f t="shared" si="0"/>
        <v>1740.6</v>
      </c>
      <c r="H172" s="215">
        <f>G43</f>
        <v>1740.6000000000001</v>
      </c>
      <c r="I172" s="214">
        <f>H43</f>
        <v>1740.6000000000001</v>
      </c>
    </row>
    <row r="173" spans="2:9">
      <c r="B173" s="201" t="s">
        <v>353</v>
      </c>
      <c r="C173" s="201"/>
      <c r="D173" s="201"/>
      <c r="E173" s="227" t="s">
        <v>354</v>
      </c>
      <c r="F173" s="214">
        <f>F172/$F$4/$H$4</f>
        <v>40</v>
      </c>
      <c r="G173" s="215">
        <f t="shared" si="0"/>
        <v>40</v>
      </c>
      <c r="H173" s="214">
        <f>H172/$C$4</f>
        <v>44.745501285347046</v>
      </c>
      <c r="I173" s="214">
        <f>I172/$C$4</f>
        <v>44.745501285347046</v>
      </c>
    </row>
    <row r="174" spans="2:9">
      <c r="B174" s="226" t="s">
        <v>356</v>
      </c>
      <c r="C174" s="201"/>
      <c r="D174" s="201"/>
      <c r="E174" s="201" t="s">
        <v>263</v>
      </c>
      <c r="F174" s="215">
        <f>F170+F172</f>
        <v>6092.1</v>
      </c>
      <c r="G174" s="215">
        <f t="shared" si="0"/>
        <v>6092.1</v>
      </c>
      <c r="H174" s="215">
        <f t="shared" ref="H174" si="1">H170+H172</f>
        <v>6092.1</v>
      </c>
      <c r="I174" s="215">
        <f>I170+I172</f>
        <v>1740.6000000000001</v>
      </c>
    </row>
    <row r="175" spans="2:9">
      <c r="B175" s="201" t="s">
        <v>353</v>
      </c>
      <c r="C175" s="201"/>
      <c r="D175" s="201"/>
      <c r="E175" s="227" t="s">
        <v>354</v>
      </c>
      <c r="F175" s="215">
        <f>F171+F173</f>
        <v>140</v>
      </c>
      <c r="G175" s="215">
        <f t="shared" si="0"/>
        <v>140</v>
      </c>
      <c r="H175" s="215">
        <f>H171+H173</f>
        <v>156.60925449871468</v>
      </c>
      <c r="I175" s="215">
        <f>I171+I173</f>
        <v>44.745501285347046</v>
      </c>
    </row>
    <row r="176" spans="2:9">
      <c r="B176" s="201" t="s">
        <v>357</v>
      </c>
      <c r="C176" s="201"/>
      <c r="D176" s="201"/>
      <c r="E176" s="201" t="s">
        <v>251</v>
      </c>
      <c r="F176" s="215">
        <f>F44</f>
        <v>2</v>
      </c>
      <c r="G176" s="201"/>
      <c r="H176" s="201">
        <f>G33</f>
        <v>45</v>
      </c>
      <c r="I176" s="201"/>
    </row>
    <row r="177" spans="2:9">
      <c r="B177" s="201" t="s">
        <v>358</v>
      </c>
      <c r="C177" s="201"/>
      <c r="D177" s="201"/>
      <c r="E177" s="201" t="s">
        <v>251</v>
      </c>
      <c r="F177" s="215">
        <f>F45</f>
        <v>1</v>
      </c>
      <c r="G177" s="201"/>
      <c r="H177" s="201">
        <f>G34</f>
        <v>15</v>
      </c>
      <c r="I177" s="201">
        <f>G37</f>
        <v>15</v>
      </c>
    </row>
    <row r="178" spans="2:9">
      <c r="B178" s="201" t="s">
        <v>359</v>
      </c>
      <c r="C178" s="201"/>
      <c r="D178" s="201"/>
      <c r="E178" s="201" t="s">
        <v>360</v>
      </c>
      <c r="F178" s="214">
        <f>F174*$F$139</f>
        <v>312.52473000000003</v>
      </c>
      <c r="G178" s="215">
        <f>F178</f>
        <v>312.52473000000003</v>
      </c>
      <c r="H178" s="214">
        <f>H174*$C$139</f>
        <v>419.74569000000002</v>
      </c>
      <c r="I178" s="214">
        <f>I174*$C$139</f>
        <v>119.92734000000002</v>
      </c>
    </row>
    <row r="179" spans="2:9">
      <c r="B179" s="201" t="s">
        <v>361</v>
      </c>
      <c r="C179" s="201"/>
      <c r="D179" s="201" t="str">
        <f>G143</f>
        <v>東京電力</v>
      </c>
      <c r="E179" s="201" t="s">
        <v>360</v>
      </c>
      <c r="F179" s="203">
        <f>(F176+F177)*$D$143</f>
        <v>1.224</v>
      </c>
      <c r="G179" s="201"/>
      <c r="H179" s="203">
        <f>(H176+H177)*$D$143</f>
        <v>24.479999999999997</v>
      </c>
      <c r="I179" s="203">
        <f>(I176+I177)*$D$143</f>
        <v>6.1199999999999992</v>
      </c>
    </row>
    <row r="180" spans="2:9">
      <c r="B180" s="201" t="s">
        <v>362</v>
      </c>
      <c r="C180" s="201"/>
      <c r="D180" s="201"/>
      <c r="E180" s="201" t="s">
        <v>360</v>
      </c>
      <c r="F180" s="215">
        <f>F178+F179</f>
        <v>313.74873000000002</v>
      </c>
      <c r="G180" s="215">
        <f t="shared" ref="G180:G183" si="2">F180</f>
        <v>313.74873000000002</v>
      </c>
      <c r="H180" s="215">
        <f>H178+H179</f>
        <v>444.22569000000004</v>
      </c>
      <c r="I180" s="215">
        <f>I178+I179</f>
        <v>126.04734000000002</v>
      </c>
    </row>
    <row r="181" spans="2:9">
      <c r="B181" s="201" t="s">
        <v>363</v>
      </c>
      <c r="C181" s="201"/>
      <c r="D181" s="201" t="s">
        <v>240</v>
      </c>
      <c r="E181" s="201" t="s">
        <v>364</v>
      </c>
      <c r="F181" s="214">
        <f>F175*$C$127</f>
        <v>11200</v>
      </c>
      <c r="G181" s="215">
        <f t="shared" si="2"/>
        <v>11200</v>
      </c>
      <c r="H181" s="214">
        <f>H175*$C$133</f>
        <v>9396.5552699228811</v>
      </c>
      <c r="I181" s="214">
        <f>I175*$C$133</f>
        <v>2684.7300771208229</v>
      </c>
    </row>
    <row r="182" spans="2:9">
      <c r="B182" s="201" t="s">
        <v>363</v>
      </c>
      <c r="C182" s="201"/>
      <c r="D182" s="201" t="s">
        <v>247</v>
      </c>
      <c r="E182" s="201" t="s">
        <v>364</v>
      </c>
      <c r="F182" s="214">
        <f>(F176+F177)*$C$134</f>
        <v>75</v>
      </c>
      <c r="G182" s="215">
        <f t="shared" si="2"/>
        <v>75</v>
      </c>
      <c r="H182" s="214">
        <f>(H176+H177)*$C$134</f>
        <v>1500</v>
      </c>
      <c r="I182" s="214">
        <f>(I176+I177)*$C$134</f>
        <v>375</v>
      </c>
    </row>
    <row r="183" spans="2:9">
      <c r="B183" s="201" t="s">
        <v>363</v>
      </c>
      <c r="C183" s="201"/>
      <c r="D183" s="201" t="s">
        <v>365</v>
      </c>
      <c r="E183" s="201" t="s">
        <v>364</v>
      </c>
      <c r="F183" s="214">
        <f>F181+F182</f>
        <v>11275</v>
      </c>
      <c r="G183" s="215">
        <f t="shared" si="2"/>
        <v>11275</v>
      </c>
      <c r="H183" s="214">
        <f>H181+H182</f>
        <v>10896.555269922881</v>
      </c>
      <c r="I183" s="214">
        <f>I181+I182</f>
        <v>3059.7300771208229</v>
      </c>
    </row>
    <row r="195" spans="2:14">
      <c r="B195" s="199" t="s">
        <v>366</v>
      </c>
    </row>
    <row r="196" spans="2:14" ht="37.5">
      <c r="B196" s="228" t="s">
        <v>367</v>
      </c>
      <c r="C196" s="201"/>
      <c r="D196" s="201"/>
      <c r="E196" s="201"/>
      <c r="F196" s="209" t="s">
        <v>218</v>
      </c>
      <c r="G196" s="398"/>
      <c r="H196" s="224" t="s">
        <v>344</v>
      </c>
      <c r="I196" s="209" t="s">
        <v>222</v>
      </c>
      <c r="J196" s="209" t="s">
        <v>218</v>
      </c>
      <c r="K196" s="399"/>
      <c r="L196" s="224" t="s">
        <v>344</v>
      </c>
      <c r="M196" s="224" t="s">
        <v>344</v>
      </c>
      <c r="N196" s="224" t="s">
        <v>344</v>
      </c>
    </row>
    <row r="197" spans="2:14" ht="37.5">
      <c r="B197" s="228" t="s">
        <v>368</v>
      </c>
      <c r="C197" s="201"/>
      <c r="D197" s="201"/>
      <c r="E197" s="201"/>
      <c r="F197" s="209" t="s">
        <v>218</v>
      </c>
      <c r="G197" s="224" t="s">
        <v>369</v>
      </c>
      <c r="H197" s="224" t="s">
        <v>344</v>
      </c>
      <c r="I197" s="209" t="s">
        <v>222</v>
      </c>
      <c r="J197" s="209" t="s">
        <v>300</v>
      </c>
      <c r="K197" s="224" t="s">
        <v>370</v>
      </c>
      <c r="L197" s="224" t="s">
        <v>371</v>
      </c>
      <c r="M197" s="224" t="s">
        <v>372</v>
      </c>
      <c r="N197" s="224" t="s">
        <v>373</v>
      </c>
    </row>
    <row r="198" spans="2:14" ht="37.5">
      <c r="B198" s="228" t="s">
        <v>374</v>
      </c>
      <c r="C198" s="201"/>
      <c r="D198" s="201"/>
      <c r="E198" s="201"/>
      <c r="F198" s="209" t="s">
        <v>375</v>
      </c>
      <c r="G198" s="209" t="s">
        <v>375</v>
      </c>
      <c r="H198" s="224" t="s">
        <v>376</v>
      </c>
      <c r="I198" s="224" t="s">
        <v>376</v>
      </c>
      <c r="J198" s="224" t="s">
        <v>377</v>
      </c>
      <c r="K198" s="224" t="s">
        <v>377</v>
      </c>
      <c r="L198" s="224" t="s">
        <v>377</v>
      </c>
      <c r="M198" s="224" t="s">
        <v>377</v>
      </c>
      <c r="N198" s="224" t="s">
        <v>377</v>
      </c>
    </row>
    <row r="199" spans="2:14">
      <c r="B199" s="201" t="s">
        <v>268</v>
      </c>
      <c r="C199" s="201"/>
      <c r="D199" s="201"/>
      <c r="E199" s="201"/>
      <c r="F199" s="209" t="s">
        <v>345</v>
      </c>
      <c r="G199" s="209" t="s">
        <v>345</v>
      </c>
      <c r="H199" s="224" t="str">
        <f>G86</f>
        <v>LPG</v>
      </c>
      <c r="I199" s="209" t="s">
        <v>212</v>
      </c>
      <c r="J199" s="209" t="s">
        <v>335</v>
      </c>
      <c r="K199" s="209" t="s">
        <v>335</v>
      </c>
      <c r="L199" s="209" t="s">
        <v>335</v>
      </c>
      <c r="M199" s="209" t="s">
        <v>335</v>
      </c>
      <c r="N199" s="209" t="s">
        <v>335</v>
      </c>
    </row>
    <row r="200" spans="2:14">
      <c r="B200" s="201" t="s">
        <v>346</v>
      </c>
      <c r="C200" s="201"/>
      <c r="D200" s="201"/>
      <c r="E200" s="209" t="s">
        <v>272</v>
      </c>
      <c r="F200" s="201">
        <f>G79</f>
        <v>100</v>
      </c>
      <c r="G200" s="209" t="s">
        <v>347</v>
      </c>
      <c r="H200" s="215">
        <f>G87</f>
        <v>1000</v>
      </c>
      <c r="I200" s="201"/>
      <c r="J200" s="201">
        <f>G98</f>
        <v>100</v>
      </c>
      <c r="K200" s="201"/>
      <c r="L200" s="215">
        <f>G104</f>
        <v>150</v>
      </c>
      <c r="M200" s="215">
        <f>G110</f>
        <v>150</v>
      </c>
      <c r="N200" s="215">
        <f>G119</f>
        <v>1000</v>
      </c>
    </row>
    <row r="201" spans="2:14">
      <c r="B201" s="201" t="s">
        <v>273</v>
      </c>
      <c r="C201" s="201"/>
      <c r="D201" s="201"/>
      <c r="E201" s="209" t="s">
        <v>272</v>
      </c>
      <c r="F201" s="201">
        <f>G80</f>
        <v>100</v>
      </c>
      <c r="G201" s="209" t="s">
        <v>378</v>
      </c>
      <c r="H201" s="215">
        <f>G88</f>
        <v>800</v>
      </c>
      <c r="I201" s="215">
        <f>I161</f>
        <v>1000</v>
      </c>
      <c r="J201" s="201">
        <f>G99</f>
        <v>100</v>
      </c>
      <c r="K201" s="201"/>
      <c r="L201" s="215">
        <f>G105</f>
        <v>170</v>
      </c>
      <c r="M201" s="215">
        <f>G111</f>
        <v>170</v>
      </c>
      <c r="N201" s="201"/>
    </row>
    <row r="202" spans="2:14">
      <c r="B202" s="201" t="s">
        <v>379</v>
      </c>
      <c r="C202" s="201"/>
      <c r="D202" s="201"/>
      <c r="E202" s="209" t="s">
        <v>272</v>
      </c>
      <c r="F202" s="201">
        <f>G81</f>
        <v>85</v>
      </c>
      <c r="G202" s="229" t="s">
        <v>380</v>
      </c>
      <c r="H202" s="215">
        <f>G89*$C$6/3.6</f>
        <v>765.41666666666663</v>
      </c>
      <c r="I202" s="215"/>
      <c r="J202" s="230">
        <f>G100</f>
        <v>30</v>
      </c>
      <c r="K202" s="230"/>
      <c r="L202" s="215">
        <f>G106</f>
        <v>58</v>
      </c>
      <c r="M202" s="215">
        <f>G112</f>
        <v>33</v>
      </c>
      <c r="N202" s="215">
        <f>G120</f>
        <v>165</v>
      </c>
    </row>
    <row r="203" spans="2:14">
      <c r="B203" s="201" t="s">
        <v>381</v>
      </c>
      <c r="C203" s="201"/>
      <c r="D203" s="201"/>
      <c r="E203" s="209" t="s">
        <v>272</v>
      </c>
      <c r="F203" s="201">
        <f>G82</f>
        <v>80</v>
      </c>
      <c r="G203" s="209"/>
      <c r="H203" s="215">
        <f>G90*$C$6/3.6</f>
        <v>890.66666666666663</v>
      </c>
      <c r="I203" s="215">
        <f>G96*$F$7/3.6</f>
        <v>1109.1944444444446</v>
      </c>
      <c r="J203" s="230">
        <f>G101</f>
        <v>25</v>
      </c>
      <c r="K203" s="230"/>
      <c r="L203" s="215">
        <f>G107</f>
        <v>52</v>
      </c>
      <c r="M203" s="215">
        <f>G113</f>
        <v>40</v>
      </c>
      <c r="N203" s="215"/>
    </row>
    <row r="204" spans="2:14">
      <c r="B204" s="201" t="s">
        <v>382</v>
      </c>
      <c r="C204" s="201"/>
      <c r="D204" s="201"/>
      <c r="E204" s="225" t="s">
        <v>350</v>
      </c>
      <c r="F204" s="208">
        <f>F200/F202</f>
        <v>1.1764705882352942</v>
      </c>
      <c r="H204" s="208">
        <f>H200/H202</f>
        <v>1.3064779531845401</v>
      </c>
      <c r="I204" s="208"/>
      <c r="J204" s="208">
        <f>J200/J202/$E$8</f>
        <v>1.3888888888888891</v>
      </c>
      <c r="K204" s="208"/>
      <c r="L204" s="208">
        <f>L200/L202/$E$8</f>
        <v>1.0775862068965518</v>
      </c>
      <c r="M204" s="208">
        <f>M200/M202/$E$8</f>
        <v>1.8939393939393943</v>
      </c>
      <c r="N204" s="208">
        <f>N200/N202/$E$8</f>
        <v>2.5252525252525255</v>
      </c>
    </row>
    <row r="205" spans="2:14">
      <c r="B205" s="201" t="s">
        <v>383</v>
      </c>
      <c r="C205" s="201"/>
      <c r="D205" s="201"/>
      <c r="E205" s="225" t="s">
        <v>350</v>
      </c>
      <c r="F205" s="208">
        <f>F201/F203</f>
        <v>1.25</v>
      </c>
      <c r="G205" s="208"/>
      <c r="H205" s="208">
        <f>H201/H203</f>
        <v>0.89820359281437134</v>
      </c>
      <c r="I205" s="208">
        <f>I201/I203</f>
        <v>0.90155518269014034</v>
      </c>
      <c r="J205" s="208">
        <f>J201/J203/$E$8</f>
        <v>1.6666666666666667</v>
      </c>
      <c r="K205" s="208"/>
      <c r="L205" s="208">
        <f>L201/L203/$E$8</f>
        <v>1.3621794871794872</v>
      </c>
      <c r="M205" s="208">
        <f>M201/M203/$E$8</f>
        <v>1.7708333333333335</v>
      </c>
      <c r="N205" s="231"/>
    </row>
    <row r="206" spans="2:14">
      <c r="B206" s="201" t="s">
        <v>288</v>
      </c>
      <c r="C206" s="201"/>
      <c r="D206" s="201"/>
      <c r="E206" s="209" t="s">
        <v>272</v>
      </c>
      <c r="F206" s="201"/>
      <c r="G206" s="201"/>
      <c r="H206" s="201">
        <f>G91</f>
        <v>7.5</v>
      </c>
      <c r="I206" s="201"/>
      <c r="J206" s="201"/>
      <c r="K206" s="201"/>
      <c r="L206" s="201"/>
      <c r="M206" s="201">
        <f>G114</f>
        <v>5.5</v>
      </c>
      <c r="N206" s="201">
        <f>G121</f>
        <v>5.5</v>
      </c>
    </row>
    <row r="207" spans="2:14">
      <c r="B207" s="201" t="s">
        <v>384</v>
      </c>
      <c r="C207" s="201"/>
      <c r="D207" s="201"/>
      <c r="E207" s="209" t="s">
        <v>272</v>
      </c>
      <c r="F207" s="201"/>
      <c r="G207" s="201"/>
      <c r="H207" s="201">
        <f>G92</f>
        <v>22</v>
      </c>
      <c r="I207" s="201"/>
      <c r="J207" s="201"/>
      <c r="K207" s="201"/>
      <c r="L207" s="201"/>
      <c r="M207" s="201">
        <f>G115</f>
        <v>15</v>
      </c>
      <c r="N207" s="201">
        <f>G122</f>
        <v>15</v>
      </c>
    </row>
    <row r="208" spans="2:14">
      <c r="B208" s="201" t="s">
        <v>292</v>
      </c>
      <c r="C208" s="201"/>
      <c r="D208" s="201"/>
      <c r="E208" s="209" t="s">
        <v>272</v>
      </c>
      <c r="F208" s="201"/>
      <c r="G208" s="201"/>
      <c r="H208" s="201">
        <f>G93</f>
        <v>15</v>
      </c>
      <c r="I208" s="201">
        <f>G97</f>
        <v>15</v>
      </c>
      <c r="J208" s="201"/>
      <c r="K208" s="201"/>
      <c r="L208" s="201">
        <f>G108</f>
        <v>15</v>
      </c>
      <c r="M208" s="201">
        <f>G116</f>
        <v>15</v>
      </c>
      <c r="N208" s="201">
        <f>G123</f>
        <v>15</v>
      </c>
    </row>
    <row r="209" spans="2:15">
      <c r="B209" s="201" t="s">
        <v>385</v>
      </c>
      <c r="C209" s="201"/>
      <c r="D209" s="201"/>
      <c r="E209" s="209" t="s">
        <v>272</v>
      </c>
      <c r="F209" s="201"/>
      <c r="G209" s="201"/>
      <c r="H209" s="201"/>
      <c r="I209" s="201"/>
      <c r="J209" s="201"/>
      <c r="K209" s="201"/>
      <c r="L209" s="201"/>
      <c r="M209" s="201">
        <f>G117</f>
        <v>11</v>
      </c>
      <c r="N209" s="201"/>
    </row>
    <row r="210" spans="2:15">
      <c r="B210" s="201" t="s">
        <v>314</v>
      </c>
      <c r="C210" s="201"/>
      <c r="D210" s="201"/>
      <c r="E210" s="225" t="s">
        <v>350</v>
      </c>
      <c r="F210" s="201"/>
      <c r="G210" s="208">
        <f>G85</f>
        <v>2.1</v>
      </c>
      <c r="H210" s="201"/>
      <c r="I210" s="201"/>
      <c r="J210" s="201"/>
      <c r="K210" s="208">
        <f>G102</f>
        <v>5.5</v>
      </c>
      <c r="L210" s="201"/>
      <c r="M210" s="201"/>
      <c r="N210" s="201"/>
    </row>
    <row r="211" spans="2:15">
      <c r="B211" s="226" t="s">
        <v>352</v>
      </c>
      <c r="C211" s="201"/>
      <c r="D211" s="201"/>
      <c r="E211" s="209" t="s">
        <v>263</v>
      </c>
      <c r="F211" s="214">
        <f>$F$42*(F164/F204)</f>
        <v>3893.447368421052</v>
      </c>
      <c r="G211" s="214"/>
      <c r="H211" s="214">
        <f>$G$42*(H164/H204)</f>
        <v>3713.7418310775238</v>
      </c>
      <c r="I211" s="201"/>
      <c r="J211" s="214">
        <f>$F$42*(F164/J204)</f>
        <v>3297.9789473684204</v>
      </c>
      <c r="K211" s="214"/>
      <c r="L211" s="214">
        <f>$G$42*(H164/L204)</f>
        <v>4502.583454641187</v>
      </c>
      <c r="M211" s="214">
        <f>$G$42*($H164/M204)</f>
        <v>2561.8147241923994</v>
      </c>
      <c r="N211" s="214">
        <f>$G$42*($H164/N204)</f>
        <v>1921.3610431442996</v>
      </c>
    </row>
    <row r="212" spans="2:15">
      <c r="B212" s="201"/>
      <c r="C212" s="201"/>
      <c r="D212" s="201"/>
      <c r="E212" s="227" t="s">
        <v>386</v>
      </c>
      <c r="F212" s="214">
        <f>F211/$F$4/$H$4</f>
        <v>89.473684210526315</v>
      </c>
      <c r="G212" s="214"/>
      <c r="H212" s="214">
        <f>H211/$C$6</f>
        <v>74.126583454641192</v>
      </c>
      <c r="I212" s="201"/>
      <c r="J212" s="214">
        <f>J211/$E$8/3.6</f>
        <v>381.71052631578942</v>
      </c>
      <c r="K212" s="214"/>
      <c r="L212" s="214">
        <f>L211/$E$8/3.6</f>
        <v>521.13234428717442</v>
      </c>
      <c r="M212" s="214">
        <f>M211/$E$8/3.6</f>
        <v>296.50633381856477</v>
      </c>
      <c r="N212" s="214">
        <f>N211/$E$8/3.6</f>
        <v>222.37975036392356</v>
      </c>
    </row>
    <row r="213" spans="2:15">
      <c r="B213" s="226" t="s">
        <v>355</v>
      </c>
      <c r="C213" s="201"/>
      <c r="D213" s="201"/>
      <c r="E213" s="209" t="s">
        <v>263</v>
      </c>
      <c r="F213" s="214">
        <f>$F$43*(F165/F205)</f>
        <v>1638.2117647058822</v>
      </c>
      <c r="G213" s="214"/>
      <c r="H213" s="214">
        <f>$G$43*(H165/H205)</f>
        <v>1728.57801591972</v>
      </c>
      <c r="I213" s="634">
        <f>$H$43*(I165/I205)</f>
        <v>1624.3023743865394</v>
      </c>
      <c r="J213" s="214">
        <f>F43*(F165/J205)</f>
        <v>1228.6588235294118</v>
      </c>
      <c r="K213" s="214"/>
      <c r="L213" s="214">
        <f>$G$43*(H165/L205)</f>
        <v>1139.8020591059233</v>
      </c>
      <c r="M213" s="214">
        <f>$G$43*(H165/M205)</f>
        <v>876.77081469686391</v>
      </c>
      <c r="N213" s="203"/>
    </row>
    <row r="214" spans="2:15">
      <c r="B214" s="201"/>
      <c r="C214" s="201"/>
      <c r="D214" s="201"/>
      <c r="E214" s="227" t="s">
        <v>386</v>
      </c>
      <c r="F214" s="232">
        <f>F213/$F$4/$H$4</f>
        <v>37.647058823529406</v>
      </c>
      <c r="G214" s="232"/>
      <c r="H214" s="232">
        <f>H213/$C$6</f>
        <v>34.502555207978439</v>
      </c>
      <c r="I214" s="201"/>
      <c r="J214" s="214">
        <f>J213/$E$8/3.6</f>
        <v>142.20588235294119</v>
      </c>
      <c r="K214" s="214"/>
      <c r="L214" s="214">
        <f>L213/$E$8/3.6</f>
        <v>131.92153461874111</v>
      </c>
      <c r="M214" s="214">
        <f>M213/$E$8/3.6</f>
        <v>101.47810355287777</v>
      </c>
      <c r="N214" s="201"/>
      <c r="O214" s="233"/>
    </row>
    <row r="215" spans="2:15">
      <c r="B215" s="226" t="s">
        <v>356</v>
      </c>
      <c r="C215" s="201"/>
      <c r="D215" s="201"/>
      <c r="E215" s="209" t="s">
        <v>263</v>
      </c>
      <c r="F215" s="214">
        <f>F211+F213</f>
        <v>5531.6591331269337</v>
      </c>
      <c r="G215" s="214">
        <f>($F$42+$F$43)*($G$54/$G$85)</f>
        <v>4641.6000000000004</v>
      </c>
      <c r="H215" s="214">
        <f t="shared" ref="H215:N215" si="3">H211+H213</f>
        <v>5442.319846997244</v>
      </c>
      <c r="I215" s="214">
        <f>I211+I213</f>
        <v>1624.3023743865394</v>
      </c>
      <c r="J215" s="214">
        <f t="shared" si="3"/>
        <v>4526.6377708978325</v>
      </c>
      <c r="K215" s="214">
        <f>($F$42+$F$43)*(G54/($G$102/$E$8))</f>
        <v>4253.393454545454</v>
      </c>
      <c r="L215" s="214">
        <f t="shared" si="3"/>
        <v>5642.3855137471101</v>
      </c>
      <c r="M215" s="214">
        <f t="shared" si="3"/>
        <v>3438.5855388892633</v>
      </c>
      <c r="N215" s="214">
        <f t="shared" si="3"/>
        <v>1921.3610431442996</v>
      </c>
    </row>
    <row r="216" spans="2:15">
      <c r="B216" s="201"/>
      <c r="C216" s="201"/>
      <c r="D216" s="201"/>
      <c r="E216" s="227" t="s">
        <v>386</v>
      </c>
      <c r="F216" s="214">
        <f>F215/$F$4/$H$4</f>
        <v>127.12074303405571</v>
      </c>
      <c r="G216" s="214">
        <f>G215/$F$4/$H$4</f>
        <v>106.66666666666669</v>
      </c>
      <c r="H216" s="214">
        <f>H215/$C$6</f>
        <v>108.62913866261964</v>
      </c>
      <c r="I216" s="232">
        <f>I215/$F$7</f>
        <v>29.694741762093955</v>
      </c>
      <c r="J216" s="214">
        <f>J215/$E$8/3.6</f>
        <v>523.9164086687307</v>
      </c>
      <c r="K216" s="214">
        <f>K215/$E$8/3.6</f>
        <v>492.290909090909</v>
      </c>
      <c r="L216" s="214">
        <f>L215/$E$8/3.6</f>
        <v>653.05387890591555</v>
      </c>
      <c r="M216" s="214">
        <f>M215/$E$8/3.6</f>
        <v>397.98443737144248</v>
      </c>
      <c r="N216" s="214">
        <f>N215/$E$8/3.6</f>
        <v>222.37975036392356</v>
      </c>
    </row>
    <row r="217" spans="2:15">
      <c r="B217" s="201" t="s">
        <v>357</v>
      </c>
      <c r="C217" s="201"/>
      <c r="D217" s="201"/>
      <c r="E217" s="201" t="s">
        <v>251</v>
      </c>
      <c r="F217" s="214">
        <f>$F44*$G83/$G52</f>
        <v>2</v>
      </c>
      <c r="G217" s="214">
        <f>$F44*$G83/$G52</f>
        <v>2</v>
      </c>
      <c r="H217" s="214">
        <f>H176</f>
        <v>45</v>
      </c>
      <c r="I217" s="214"/>
      <c r="J217" s="201"/>
      <c r="K217" s="201"/>
      <c r="L217" s="214">
        <f>$G33*G108/($G61+$G62+$G63)</f>
        <v>15.168539325842696</v>
      </c>
      <c r="M217" s="214">
        <f>$G33*($G114+$G115+$G116)/($G61+$G62+$G63)</f>
        <v>35.898876404494381</v>
      </c>
      <c r="N217" s="214">
        <f>$G33*(G121+G122+G123)/($G61+$G62+$G63)</f>
        <v>35.898876404494381</v>
      </c>
    </row>
    <row r="218" spans="2:15">
      <c r="B218" s="201" t="s">
        <v>358</v>
      </c>
      <c r="C218" s="201"/>
      <c r="D218" s="201"/>
      <c r="E218" s="201" t="s">
        <v>251</v>
      </c>
      <c r="F218" s="214">
        <f>$F45*$G84/$G53</f>
        <v>1</v>
      </c>
      <c r="G218" s="214">
        <f>$F45* $G84/$G53</f>
        <v>1</v>
      </c>
      <c r="H218" s="214">
        <f>H177</f>
        <v>15</v>
      </c>
      <c r="I218" s="214">
        <f>I177</f>
        <v>15</v>
      </c>
      <c r="J218" s="201"/>
      <c r="K218" s="201"/>
      <c r="L218" s="201">
        <f>$G34*(G93/$G63)</f>
        <v>15</v>
      </c>
      <c r="M218" s="201">
        <f>$G34*(G116+G117)/$G63</f>
        <v>26</v>
      </c>
      <c r="N218" s="201"/>
    </row>
    <row r="219" spans="2:15">
      <c r="B219" s="201" t="s">
        <v>387</v>
      </c>
      <c r="C219" s="201"/>
      <c r="D219" s="201"/>
      <c r="E219" s="201" t="s">
        <v>360</v>
      </c>
      <c r="F219" s="214">
        <f>F215*$F$139</f>
        <v>283.77411352941169</v>
      </c>
      <c r="G219" s="214">
        <f>G215*$F$139</f>
        <v>238.11408</v>
      </c>
      <c r="H219" s="214">
        <f>H215*$C$141</f>
        <v>327.08342280453439</v>
      </c>
      <c r="I219" s="214">
        <f>I215*$F$142</f>
        <v>82.839421093713511</v>
      </c>
      <c r="J219" s="214">
        <f>J216*$D$143</f>
        <v>213.7578947368421</v>
      </c>
      <c r="K219" s="214">
        <f>K216*$D$143</f>
        <v>200.85469090909086</v>
      </c>
      <c r="L219" s="214">
        <f>L216*D143</f>
        <v>266.44598259361351</v>
      </c>
      <c r="M219" s="214">
        <f>M216*$D$143</f>
        <v>162.37765044754852</v>
      </c>
      <c r="N219" s="214">
        <f>N216*$D$143</f>
        <v>90.730938148480803</v>
      </c>
    </row>
    <row r="220" spans="2:15">
      <c r="B220" s="201" t="s">
        <v>388</v>
      </c>
      <c r="C220" s="201"/>
      <c r="D220" s="201"/>
      <c r="E220" s="201" t="s">
        <v>360</v>
      </c>
      <c r="F220" s="232">
        <f>(F217+F218)*D143</f>
        <v>1.224</v>
      </c>
      <c r="G220" s="232">
        <f>(G217+G218)*$D$143</f>
        <v>1.224</v>
      </c>
      <c r="H220" s="214">
        <f>(H217+H218)*$D$143</f>
        <v>24.479999999999997</v>
      </c>
      <c r="I220" s="214">
        <f>(I217+I218)*$D$143</f>
        <v>6.1199999999999992</v>
      </c>
      <c r="J220" s="201"/>
      <c r="K220" s="201"/>
      <c r="L220" s="214">
        <f>(L217+L218)*$D$143</f>
        <v>12.308764044943818</v>
      </c>
      <c r="M220" s="214">
        <f>(M217+M218)*$D$143</f>
        <v>25.254741573033705</v>
      </c>
      <c r="N220" s="214">
        <f>(N217+N218)*$D$143</f>
        <v>14.646741573033706</v>
      </c>
    </row>
    <row r="221" spans="2:15">
      <c r="B221" s="201" t="s">
        <v>362</v>
      </c>
      <c r="C221" s="201"/>
      <c r="D221" s="201"/>
      <c r="E221" s="201" t="s">
        <v>360</v>
      </c>
      <c r="F221" s="214">
        <f>F219+F220</f>
        <v>284.99811352941168</v>
      </c>
      <c r="G221" s="214">
        <f>G219+G220</f>
        <v>239.33807999999999</v>
      </c>
      <c r="H221" s="214">
        <f t="shared" ref="H221:N221" si="4">H219+H220</f>
        <v>351.56342280453441</v>
      </c>
      <c r="I221" s="214">
        <f t="shared" si="4"/>
        <v>88.959421093713516</v>
      </c>
      <c r="J221" s="214">
        <f t="shared" si="4"/>
        <v>213.7578947368421</v>
      </c>
      <c r="K221" s="214">
        <f t="shared" si="4"/>
        <v>200.85469090909086</v>
      </c>
      <c r="L221" s="214">
        <f>L219+L220</f>
        <v>278.75474663855732</v>
      </c>
      <c r="M221" s="214">
        <f t="shared" si="4"/>
        <v>187.63239202058222</v>
      </c>
      <c r="N221" s="214">
        <f t="shared" si="4"/>
        <v>105.37767972151451</v>
      </c>
    </row>
    <row r="222" spans="2:15">
      <c r="B222" s="201" t="s">
        <v>389</v>
      </c>
      <c r="C222" s="201"/>
      <c r="D222" s="201" t="s">
        <v>240</v>
      </c>
      <c r="E222" s="201" t="s">
        <v>364</v>
      </c>
      <c r="F222" s="214">
        <f>F216*C$127</f>
        <v>10169.659442724456</v>
      </c>
      <c r="G222" s="214">
        <f>G216*$C$127</f>
        <v>8533.3333333333358</v>
      </c>
      <c r="H222" s="214">
        <f>H216*C131</f>
        <v>15208.079412766749</v>
      </c>
      <c r="I222" s="214">
        <f>I216*C130</f>
        <v>2672.5267585884558</v>
      </c>
      <c r="J222" s="214"/>
      <c r="K222" s="214"/>
      <c r="L222" s="214">
        <f>L216*$C$134</f>
        <v>16326.346972647889</v>
      </c>
      <c r="M222" s="214">
        <f>M216*$C$134</f>
        <v>9949.6109342860618</v>
      </c>
      <c r="N222" s="214">
        <f>N216*$C$134</f>
        <v>5559.493759098089</v>
      </c>
    </row>
    <row r="223" spans="2:15">
      <c r="B223" s="201" t="s">
        <v>389</v>
      </c>
      <c r="C223" s="201"/>
      <c r="D223" s="201" t="s">
        <v>247</v>
      </c>
      <c r="E223" s="201" t="s">
        <v>364</v>
      </c>
      <c r="F223" s="214">
        <f>(F217+F218)*$C134</f>
        <v>75</v>
      </c>
      <c r="G223" s="214">
        <f>(G217+G218)*$C134</f>
        <v>75</v>
      </c>
      <c r="H223" s="214">
        <f>(H217+H218)*$C134</f>
        <v>1500</v>
      </c>
      <c r="I223" s="214">
        <f>(I217+I218)*$C134</f>
        <v>375</v>
      </c>
      <c r="J223" s="214"/>
      <c r="K223" s="214"/>
      <c r="L223" s="214">
        <f>(L217+L218)*$C$134</f>
        <v>754.21348314606735</v>
      </c>
      <c r="M223" s="214">
        <f>(M217+M218)*$C$134</f>
        <v>1547.4719101123594</v>
      </c>
      <c r="N223" s="214">
        <f>(N217+N218)*$C$134</f>
        <v>897.47191011235952</v>
      </c>
    </row>
    <row r="224" spans="2:15">
      <c r="B224" s="201" t="s">
        <v>389</v>
      </c>
      <c r="C224" s="227"/>
      <c r="D224" s="201" t="s">
        <v>365</v>
      </c>
      <c r="E224" s="201" t="s">
        <v>364</v>
      </c>
      <c r="F224" s="214">
        <f>F222+F223</f>
        <v>10244.659442724456</v>
      </c>
      <c r="G224" s="214">
        <f>G222+G223</f>
        <v>8608.3333333333358</v>
      </c>
      <c r="H224" s="214">
        <f>H222+H223</f>
        <v>16708.079412766747</v>
      </c>
      <c r="I224" s="214">
        <f>I222+I223</f>
        <v>3047.5267585884558</v>
      </c>
      <c r="J224" s="214">
        <f>J216*$C$134</f>
        <v>13097.910216718268</v>
      </c>
      <c r="K224" s="214">
        <f>K216*$C$134</f>
        <v>12307.272727272724</v>
      </c>
      <c r="L224" s="214">
        <f>L222+L223</f>
        <v>17080.560455793955</v>
      </c>
      <c r="M224" s="214">
        <f>M222+M223</f>
        <v>11497.082844398421</v>
      </c>
      <c r="N224" s="214">
        <f>N222+N223</f>
        <v>6456.9656692104481</v>
      </c>
    </row>
    <row r="225" spans="3:4">
      <c r="C225" s="211"/>
      <c r="D225" s="221"/>
    </row>
  </sheetData>
  <mergeCells count="8">
    <mergeCell ref="C44:E44"/>
    <mergeCell ref="C45:E45"/>
    <mergeCell ref="D21:E21"/>
    <mergeCell ref="D22:E22"/>
    <mergeCell ref="C40:E40"/>
    <mergeCell ref="C41:E41"/>
    <mergeCell ref="C42:E42"/>
    <mergeCell ref="C43:E43"/>
  </mergeCells>
  <phoneticPr fontId="7"/>
  <pageMargins left="0.70866141732283472" right="0"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B7FD-FC97-4389-8968-762DFB2C1424}">
  <sheetPr>
    <tabColor theme="9" tint="-0.499984740745262"/>
  </sheetPr>
  <dimension ref="A2:P57"/>
  <sheetViews>
    <sheetView view="pageBreakPreview" topLeftCell="A5" zoomScaleNormal="100" zoomScaleSheetLayoutView="100" workbookViewId="0">
      <selection activeCell="L13" sqref="L13"/>
    </sheetView>
  </sheetViews>
  <sheetFormatPr defaultColWidth="9" defaultRowHeight="18.75"/>
  <cols>
    <col min="1" max="2" width="10" style="1" bestFit="1" customWidth="1"/>
    <col min="3" max="3" width="10.5" style="1" bestFit="1" customWidth="1"/>
    <col min="4" max="5" width="9" style="1"/>
    <col min="6" max="6" width="9.625" style="1" bestFit="1" customWidth="1"/>
    <col min="7" max="8" width="9" style="1"/>
    <col min="9" max="9" width="10" style="1" bestFit="1" customWidth="1"/>
    <col min="10" max="10" width="9" style="1" customWidth="1"/>
    <col min="11" max="12" width="10" style="1" bestFit="1" customWidth="1"/>
    <col min="13" max="13" width="10" style="1" customWidth="1"/>
    <col min="14" max="16384" width="9" style="1"/>
  </cols>
  <sheetData>
    <row r="2" spans="1:15" ht="19.5">
      <c r="A2" s="26" t="s">
        <v>30</v>
      </c>
      <c r="B2" s="57" t="s">
        <v>20</v>
      </c>
      <c r="C2" s="63" t="s">
        <v>60</v>
      </c>
      <c r="D2" s="63" t="s">
        <v>70</v>
      </c>
      <c r="E2"/>
      <c r="F2" t="s">
        <v>59</v>
      </c>
      <c r="H2"/>
      <c r="I2"/>
      <c r="N2" s="1">
        <v>1</v>
      </c>
      <c r="O2" s="23" t="s">
        <v>31</v>
      </c>
    </row>
    <row r="3" spans="1:15" ht="19.5" customHeight="1">
      <c r="A3" s="24" t="s">
        <v>37</v>
      </c>
      <c r="B3" s="6" t="e">
        <f>#REF!</f>
        <v>#REF!</v>
      </c>
      <c r="C3" s="64" t="e">
        <f>B3/100</f>
        <v>#REF!</v>
      </c>
      <c r="D3" s="5" t="e">
        <f>#REF!</f>
        <v>#REF!</v>
      </c>
      <c r="E3"/>
      <c r="F3" t="s">
        <v>69</v>
      </c>
      <c r="H3"/>
      <c r="I3"/>
      <c r="N3" s="1">
        <v>2</v>
      </c>
      <c r="O3" s="23" t="s">
        <v>32</v>
      </c>
    </row>
    <row r="4" spans="1:15" ht="19.5" customHeight="1">
      <c r="A4" s="24" t="s">
        <v>38</v>
      </c>
      <c r="B4" s="6" t="e">
        <f>#REF!</f>
        <v>#REF!</v>
      </c>
      <c r="C4" s="64" t="e">
        <f>B4/100</f>
        <v>#REF!</v>
      </c>
      <c r="D4" s="5" t="e">
        <f>#REF!</f>
        <v>#REF!</v>
      </c>
      <c r="E4"/>
      <c r="G4"/>
      <c r="H4"/>
      <c r="I4"/>
      <c r="N4" s="1">
        <v>3</v>
      </c>
      <c r="O4" s="23" t="s">
        <v>33</v>
      </c>
    </row>
    <row r="5" spans="1:15" ht="19.5" customHeight="1">
      <c r="A5" s="24" t="s">
        <v>39</v>
      </c>
      <c r="B5" s="6" t="e">
        <f>#REF!</f>
        <v>#REF!</v>
      </c>
      <c r="C5" s="64" t="e">
        <f>B5/100</f>
        <v>#REF!</v>
      </c>
      <c r="D5" s="5" t="e">
        <f>#REF!</f>
        <v>#REF!</v>
      </c>
      <c r="E5"/>
      <c r="G5"/>
      <c r="H5"/>
      <c r="I5"/>
      <c r="N5" s="1">
        <v>4</v>
      </c>
      <c r="O5" s="23" t="s">
        <v>34</v>
      </c>
    </row>
    <row r="6" spans="1:15" ht="19.5" customHeight="1">
      <c r="A6" s="24" t="s">
        <v>40</v>
      </c>
      <c r="B6" s="6" t="e">
        <f>#REF!</f>
        <v>#REF!</v>
      </c>
      <c r="C6" s="64" t="e">
        <f t="shared" ref="C6:C12" si="0">B6/100</f>
        <v>#REF!</v>
      </c>
      <c r="D6" s="5" t="e">
        <f>#REF!</f>
        <v>#REF!</v>
      </c>
      <c r="E6"/>
      <c r="G6"/>
      <c r="H6"/>
      <c r="I6"/>
      <c r="K6" s="30"/>
      <c r="N6" s="1">
        <v>5</v>
      </c>
      <c r="O6" s="23" t="s">
        <v>35</v>
      </c>
    </row>
    <row r="7" spans="1:15" ht="19.5" customHeight="1">
      <c r="A7" s="24" t="s">
        <v>41</v>
      </c>
      <c r="B7" s="6" t="e">
        <f>#REF!</f>
        <v>#REF!</v>
      </c>
      <c r="C7" s="64" t="e">
        <f t="shared" si="0"/>
        <v>#REF!</v>
      </c>
      <c r="D7" s="5" t="e">
        <f>#REF!</f>
        <v>#REF!</v>
      </c>
      <c r="E7"/>
      <c r="G7"/>
      <c r="H7"/>
      <c r="I7"/>
      <c r="K7" s="31"/>
      <c r="N7" s="1">
        <v>6</v>
      </c>
      <c r="O7" s="23" t="s">
        <v>36</v>
      </c>
    </row>
    <row r="8" spans="1:15" ht="19.5" customHeight="1">
      <c r="A8" s="24" t="s">
        <v>42</v>
      </c>
      <c r="B8" s="6" t="e">
        <f>#REF!</f>
        <v>#REF!</v>
      </c>
      <c r="C8" s="64" t="e">
        <f t="shared" si="0"/>
        <v>#REF!</v>
      </c>
      <c r="D8" s="5" t="e">
        <f>#REF!</f>
        <v>#REF!</v>
      </c>
      <c r="E8"/>
      <c r="G8"/>
      <c r="H8"/>
      <c r="I8"/>
      <c r="K8" s="31"/>
    </row>
    <row r="9" spans="1:15" ht="19.5" customHeight="1">
      <c r="A9" s="24" t="s">
        <v>43</v>
      </c>
      <c r="B9" s="6" t="e">
        <f>#REF!</f>
        <v>#REF!</v>
      </c>
      <c r="C9" s="64" t="e">
        <f t="shared" si="0"/>
        <v>#REF!</v>
      </c>
      <c r="D9" s="5" t="e">
        <f>#REF!</f>
        <v>#REF!</v>
      </c>
      <c r="E9"/>
      <c r="G9"/>
      <c r="H9"/>
      <c r="I9"/>
      <c r="K9" s="31"/>
    </row>
    <row r="10" spans="1:15" ht="19.5" customHeight="1">
      <c r="A10" s="24" t="s">
        <v>44</v>
      </c>
      <c r="B10" s="6" t="e">
        <f>#REF!</f>
        <v>#REF!</v>
      </c>
      <c r="C10" s="64" t="e">
        <f t="shared" si="0"/>
        <v>#REF!</v>
      </c>
      <c r="D10" s="5" t="e">
        <f>#REF!</f>
        <v>#REF!</v>
      </c>
      <c r="E10"/>
      <c r="G10"/>
      <c r="H10"/>
      <c r="I10"/>
    </row>
    <row r="11" spans="1:15" ht="19.5" customHeight="1">
      <c r="A11" s="24" t="s">
        <v>45</v>
      </c>
      <c r="B11" s="6" t="e">
        <f>#REF!</f>
        <v>#REF!</v>
      </c>
      <c r="C11" s="64" t="e">
        <f t="shared" si="0"/>
        <v>#REF!</v>
      </c>
      <c r="D11" s="5" t="e">
        <f>#REF!</f>
        <v>#REF!</v>
      </c>
      <c r="E11"/>
      <c r="G11"/>
      <c r="H11"/>
      <c r="I11"/>
      <c r="K11"/>
      <c r="L11" s="31"/>
      <c r="M11" s="31"/>
    </row>
    <row r="12" spans="1:15" ht="20.25" customHeight="1">
      <c r="A12" s="24" t="s">
        <v>58</v>
      </c>
      <c r="B12" s="6" t="e">
        <f>#REF!</f>
        <v>#REF!</v>
      </c>
      <c r="C12" s="64" t="e">
        <f t="shared" si="0"/>
        <v>#REF!</v>
      </c>
      <c r="D12" s="5" t="e">
        <f>#REF!</f>
        <v>#REF!</v>
      </c>
      <c r="E12"/>
      <c r="G12"/>
      <c r="H12"/>
      <c r="I12"/>
    </row>
    <row r="13" spans="1:15" ht="20.25" customHeight="1">
      <c r="A13"/>
      <c r="B13"/>
      <c r="C13"/>
      <c r="D13"/>
      <c r="E13"/>
      <c r="F13"/>
      <c r="G13" s="32"/>
      <c r="I13"/>
      <c r="J13"/>
    </row>
    <row r="14" spans="1:15" ht="20.25" customHeight="1" thickBot="1">
      <c r="A14" s="11"/>
      <c r="B14" s="49"/>
      <c r="C14" s="49"/>
      <c r="D14" s="49"/>
      <c r="E14" s="3"/>
      <c r="G14" s="32"/>
      <c r="J14" s="33"/>
    </row>
    <row r="15" spans="1:15">
      <c r="A15" s="24" t="s">
        <v>37</v>
      </c>
      <c r="B15" s="24" t="s">
        <v>38</v>
      </c>
      <c r="C15" s="24" t="s">
        <v>39</v>
      </c>
      <c r="D15" s="24" t="s">
        <v>40</v>
      </c>
      <c r="E15" s="24" t="s">
        <v>41</v>
      </c>
      <c r="F15" s="24" t="s">
        <v>42</v>
      </c>
      <c r="G15" s="24" t="s">
        <v>43</v>
      </c>
      <c r="H15" s="24" t="s">
        <v>44</v>
      </c>
      <c r="I15" s="24" t="s">
        <v>45</v>
      </c>
      <c r="J15" s="37" t="s">
        <v>58</v>
      </c>
      <c r="K15" s="38" t="s">
        <v>46</v>
      </c>
    </row>
    <row r="16" spans="1:15">
      <c r="A16" s="66" t="e">
        <f>#REF!</f>
        <v>#REF!</v>
      </c>
      <c r="B16" s="66" t="e">
        <f>#REF!</f>
        <v>#REF!</v>
      </c>
      <c r="C16" s="66" t="e">
        <f>#REF!</f>
        <v>#REF!</v>
      </c>
      <c r="D16" s="66" t="e">
        <f>#REF!</f>
        <v>#REF!</v>
      </c>
      <c r="E16" s="66" t="e">
        <f>#REF!</f>
        <v>#REF!</v>
      </c>
      <c r="F16" s="66" t="e">
        <f>#REF!</f>
        <v>#REF!</v>
      </c>
      <c r="G16" s="66" t="e">
        <f>#REF!</f>
        <v>#REF!</v>
      </c>
      <c r="H16" s="66" t="e">
        <f>#REF!</f>
        <v>#REF!</v>
      </c>
      <c r="I16" s="66" t="e">
        <f>#REF!</f>
        <v>#REF!</v>
      </c>
      <c r="J16" s="66" t="e">
        <f>#REF!</f>
        <v>#REF!</v>
      </c>
      <c r="K16" s="39" t="e">
        <f>SUM(A16:J16)</f>
        <v>#REF!</v>
      </c>
      <c r="M16" s="1" t="s">
        <v>71</v>
      </c>
    </row>
    <row r="17" spans="1:13" ht="19.5" thickBot="1">
      <c r="A17" s="36" t="e">
        <f>C3</f>
        <v>#REF!</v>
      </c>
      <c r="B17" s="36" t="e">
        <f>C4</f>
        <v>#REF!</v>
      </c>
      <c r="C17" s="36" t="e">
        <f>C5</f>
        <v>#REF!</v>
      </c>
      <c r="D17" s="36" t="e">
        <f>C6</f>
        <v>#REF!</v>
      </c>
      <c r="E17" s="36" t="e">
        <f>C7</f>
        <v>#REF!</v>
      </c>
      <c r="F17" s="36" t="e">
        <f>C8</f>
        <v>#REF!</v>
      </c>
      <c r="G17" s="36" t="e">
        <f>C9</f>
        <v>#REF!</v>
      </c>
      <c r="H17" s="36" t="e">
        <f>C10</f>
        <v>#REF!</v>
      </c>
      <c r="I17" s="36" t="e">
        <f>C11</f>
        <v>#REF!</v>
      </c>
      <c r="J17" s="36" t="e">
        <f>C12</f>
        <v>#REF!</v>
      </c>
      <c r="K17" s="40"/>
      <c r="L17" s="42"/>
      <c r="M17" s="42" t="s">
        <v>72</v>
      </c>
    </row>
    <row r="18" spans="1:13">
      <c r="A18" s="1" t="e">
        <f>A16*A17</f>
        <v>#REF!</v>
      </c>
      <c r="B18" s="1" t="e">
        <f>B16*B17</f>
        <v>#REF!</v>
      </c>
      <c r="C18" s="1" t="e">
        <f>C16*C17</f>
        <v>#REF!</v>
      </c>
      <c r="D18" s="1" t="e">
        <f t="shared" ref="D18:J18" si="1">D16*D17</f>
        <v>#REF!</v>
      </c>
      <c r="E18" s="1" t="e">
        <f t="shared" si="1"/>
        <v>#REF!</v>
      </c>
      <c r="F18" s="1" t="e">
        <f t="shared" si="1"/>
        <v>#REF!</v>
      </c>
      <c r="G18" s="1" t="e">
        <f t="shared" si="1"/>
        <v>#REF!</v>
      </c>
      <c r="H18" s="1" t="e">
        <f t="shared" si="1"/>
        <v>#REF!</v>
      </c>
      <c r="I18" s="1" t="e">
        <f t="shared" si="1"/>
        <v>#REF!</v>
      </c>
      <c r="J18" s="1" t="e">
        <f t="shared" si="1"/>
        <v>#REF!</v>
      </c>
    </row>
    <row r="19" spans="1:13" ht="19.5" thickBot="1">
      <c r="B19" s="1" t="e">
        <f>SUM(A18:B18)</f>
        <v>#REF!</v>
      </c>
      <c r="C19" s="1" t="e">
        <f>SUM(A18:C18)</f>
        <v>#REF!</v>
      </c>
      <c r="D19" s="1" t="e">
        <f>SUM(A18:D18)</f>
        <v>#REF!</v>
      </c>
      <c r="E19" s="1" t="e">
        <f>SUM(A18:E18)</f>
        <v>#REF!</v>
      </c>
      <c r="F19" s="1" t="e">
        <f>SUM(A18:F18)</f>
        <v>#REF!</v>
      </c>
      <c r="G19" s="1" t="e">
        <f>SUM(A18:G18)</f>
        <v>#REF!</v>
      </c>
      <c r="H19" s="1" t="e">
        <f>SUM(A18:H18)</f>
        <v>#REF!</v>
      </c>
      <c r="I19" s="1" t="e">
        <f>SUM(A18:I18)</f>
        <v>#REF!</v>
      </c>
      <c r="J19" s="1" t="e">
        <f>SUM(A18:J18)</f>
        <v>#REF!</v>
      </c>
    </row>
    <row r="20" spans="1:13" ht="19.5" thickBot="1">
      <c r="A20" s="68" t="e">
        <f>A18/K16</f>
        <v>#REF!</v>
      </c>
      <c r="B20" s="69" t="e">
        <f>B19/K16</f>
        <v>#REF!</v>
      </c>
      <c r="C20" s="69" t="e">
        <f>C19/K16</f>
        <v>#REF!</v>
      </c>
      <c r="D20" s="69" t="e">
        <f>D19/K16</f>
        <v>#REF!</v>
      </c>
      <c r="E20" s="69" t="e">
        <f>E19/K16</f>
        <v>#REF!</v>
      </c>
      <c r="F20" s="69" t="e">
        <f>F19/K16</f>
        <v>#REF!</v>
      </c>
      <c r="G20" s="69" t="e">
        <f>G19/K16</f>
        <v>#REF!</v>
      </c>
      <c r="H20" s="69" t="e">
        <f>H19/K16</f>
        <v>#REF!</v>
      </c>
      <c r="I20" s="69" t="e">
        <f>I19/K16</f>
        <v>#REF!</v>
      </c>
      <c r="J20" s="70" t="e">
        <f>J19/K16</f>
        <v>#REF!</v>
      </c>
      <c r="L20" s="67" t="e" cm="1">
        <f t="array" ref="L20">INDEX(A20:J20,COUNTA(A20:J20))</f>
        <v>#REF!</v>
      </c>
    </row>
    <row r="21" spans="1:13" ht="20.25" thickBot="1">
      <c r="A21"/>
      <c r="B21"/>
      <c r="C21"/>
      <c r="D21"/>
      <c r="E21"/>
      <c r="F21"/>
      <c r="G21"/>
      <c r="H21"/>
      <c r="I21"/>
      <c r="J21"/>
      <c r="L21" s="72" t="e">
        <f>L20*100</f>
        <v>#REF!</v>
      </c>
      <c r="M21" s="54" t="s">
        <v>74</v>
      </c>
    </row>
    <row r="22" spans="1:13" ht="19.5">
      <c r="A22"/>
      <c r="B22"/>
      <c r="C22"/>
      <c r="D22"/>
      <c r="E22"/>
      <c r="F22"/>
      <c r="G22"/>
      <c r="H22"/>
      <c r="I22"/>
      <c r="L22" s="43" t="s">
        <v>73</v>
      </c>
    </row>
    <row r="23" spans="1:13" ht="19.5">
      <c r="A23"/>
      <c r="B23"/>
      <c r="C23"/>
      <c r="D23"/>
      <c r="E23"/>
      <c r="F23"/>
      <c r="G23"/>
      <c r="H23"/>
      <c r="I23"/>
      <c r="J23"/>
    </row>
    <row r="24" spans="1:13" ht="19.5">
      <c r="A24"/>
      <c r="B24"/>
      <c r="C24"/>
      <c r="D24"/>
      <c r="E24"/>
      <c r="F24"/>
      <c r="G24"/>
      <c r="H24"/>
      <c r="I24"/>
      <c r="J24"/>
    </row>
    <row r="25" spans="1:13" ht="19.5">
      <c r="A25"/>
      <c r="B25"/>
      <c r="C25"/>
      <c r="D25"/>
      <c r="E25"/>
      <c r="F25"/>
      <c r="G25"/>
      <c r="H25"/>
      <c r="I25"/>
      <c r="J25"/>
    </row>
    <row r="26" spans="1:13" ht="19.5">
      <c r="A26"/>
      <c r="B26"/>
      <c r="C26"/>
      <c r="D26"/>
      <c r="E26"/>
      <c r="F26"/>
      <c r="G26"/>
      <c r="H26"/>
      <c r="I26"/>
      <c r="J26"/>
      <c r="K26" s="10"/>
    </row>
    <row r="27" spans="1:13">
      <c r="A27" s="34"/>
      <c r="B27" s="34"/>
      <c r="C27" s="34"/>
      <c r="D27" s="34"/>
      <c r="E27" s="34"/>
      <c r="F27" s="34"/>
      <c r="G27" s="34"/>
      <c r="H27" s="34"/>
      <c r="I27" s="34"/>
      <c r="J27" s="34"/>
      <c r="K27" s="44"/>
    </row>
    <row r="28" spans="1:13">
      <c r="A28" s="35"/>
      <c r="B28" s="35"/>
      <c r="C28" s="35"/>
      <c r="D28" s="35"/>
      <c r="E28" s="35"/>
      <c r="F28" s="35"/>
      <c r="G28" s="35"/>
      <c r="H28" s="35"/>
      <c r="I28" s="35"/>
      <c r="J28" s="35"/>
      <c r="K28" s="44"/>
    </row>
    <row r="30" spans="1:13">
      <c r="A30" s="25" t="s">
        <v>47</v>
      </c>
      <c r="B30" s="57" t="s">
        <v>20</v>
      </c>
      <c r="C30" s="57" t="s">
        <v>60</v>
      </c>
      <c r="D30" s="63" t="s">
        <v>70</v>
      </c>
      <c r="E30" s="59"/>
    </row>
    <row r="31" spans="1:13">
      <c r="A31" s="24" t="s">
        <v>48</v>
      </c>
      <c r="B31" s="58" t="e">
        <f>#REF!</f>
        <v>#REF!</v>
      </c>
      <c r="C31" s="65" t="e">
        <f>B31/100</f>
        <v>#REF!</v>
      </c>
      <c r="D31" s="4" t="e">
        <f>#REF!</f>
        <v>#REF!</v>
      </c>
      <c r="E31" s="60"/>
    </row>
    <row r="32" spans="1:13">
      <c r="A32" s="24" t="s">
        <v>49</v>
      </c>
      <c r="B32" s="58" t="e">
        <f>#REF!</f>
        <v>#REF!</v>
      </c>
      <c r="C32" s="65" t="e">
        <f>B32/100</f>
        <v>#REF!</v>
      </c>
      <c r="D32" s="4" t="e">
        <f>#REF!</f>
        <v>#REF!</v>
      </c>
      <c r="E32" s="61"/>
    </row>
    <row r="33" spans="1:16">
      <c r="A33" s="24" t="s">
        <v>50</v>
      </c>
      <c r="B33" s="58" t="e">
        <f>#REF!</f>
        <v>#REF!</v>
      </c>
      <c r="C33" s="65" t="e">
        <f t="shared" ref="C33:C40" si="2">B33/100</f>
        <v>#REF!</v>
      </c>
      <c r="D33" s="4" t="e">
        <f>#REF!</f>
        <v>#REF!</v>
      </c>
      <c r="E33" s="60"/>
    </row>
    <row r="34" spans="1:16">
      <c r="A34" s="24" t="s">
        <v>51</v>
      </c>
      <c r="B34" s="58" t="e">
        <f>#REF!</f>
        <v>#REF!</v>
      </c>
      <c r="C34" s="65" t="e">
        <f t="shared" si="2"/>
        <v>#REF!</v>
      </c>
      <c r="D34" s="4" t="e">
        <f>#REF!</f>
        <v>#REF!</v>
      </c>
      <c r="E34" s="60"/>
    </row>
    <row r="35" spans="1:16">
      <c r="A35" s="24" t="s">
        <v>52</v>
      </c>
      <c r="B35" s="58" t="e">
        <f>#REF!</f>
        <v>#REF!</v>
      </c>
      <c r="C35" s="65" t="e">
        <f t="shared" si="2"/>
        <v>#REF!</v>
      </c>
      <c r="D35" s="4" t="e">
        <f>#REF!</f>
        <v>#REF!</v>
      </c>
      <c r="E35" s="60"/>
    </row>
    <row r="36" spans="1:16">
      <c r="A36" s="24" t="s">
        <v>53</v>
      </c>
      <c r="B36" s="58" t="e">
        <f>#REF!</f>
        <v>#REF!</v>
      </c>
      <c r="C36" s="65" t="e">
        <f t="shared" si="2"/>
        <v>#REF!</v>
      </c>
      <c r="D36" s="4" t="e">
        <f>#REF!</f>
        <v>#REF!</v>
      </c>
      <c r="E36" s="61"/>
    </row>
    <row r="37" spans="1:16">
      <c r="A37" s="24" t="s">
        <v>54</v>
      </c>
      <c r="B37" s="58" t="e">
        <f>#REF!</f>
        <v>#REF!</v>
      </c>
      <c r="C37" s="65" t="e">
        <f t="shared" si="2"/>
        <v>#REF!</v>
      </c>
      <c r="D37" s="4" t="e">
        <f>#REF!</f>
        <v>#REF!</v>
      </c>
      <c r="E37" s="60"/>
    </row>
    <row r="38" spans="1:16">
      <c r="A38" s="24" t="s">
        <v>55</v>
      </c>
      <c r="B38" s="58" t="e">
        <f>#REF!</f>
        <v>#REF!</v>
      </c>
      <c r="C38" s="65" t="e">
        <f t="shared" si="2"/>
        <v>#REF!</v>
      </c>
      <c r="D38" s="4" t="e">
        <f>#REF!</f>
        <v>#REF!</v>
      </c>
      <c r="E38" s="60"/>
    </row>
    <row r="39" spans="1:16">
      <c r="A39" s="24" t="s">
        <v>56</v>
      </c>
      <c r="B39" s="58" t="e">
        <f>#REF!</f>
        <v>#REF!</v>
      </c>
      <c r="C39" s="65" t="e">
        <f t="shared" si="2"/>
        <v>#REF!</v>
      </c>
      <c r="D39" s="4" t="e">
        <f>#REF!</f>
        <v>#REF!</v>
      </c>
      <c r="E39" s="60"/>
    </row>
    <row r="40" spans="1:16">
      <c r="A40" s="47" t="s">
        <v>57</v>
      </c>
      <c r="B40" s="8" t="e">
        <f>#REF!</f>
        <v>#REF!</v>
      </c>
      <c r="C40" s="65" t="e">
        <f t="shared" si="2"/>
        <v>#REF!</v>
      </c>
      <c r="D40" s="48" t="e">
        <f>#REF!</f>
        <v>#REF!</v>
      </c>
      <c r="E40" s="60"/>
    </row>
    <row r="41" spans="1:16">
      <c r="A41" s="8"/>
      <c r="B41" s="1386"/>
      <c r="C41" s="1386"/>
      <c r="D41" s="1386"/>
      <c r="E41" s="1387"/>
      <c r="G41" s="33"/>
    </row>
    <row r="42" spans="1:16" ht="19.5" thickBot="1">
      <c r="B42" s="3"/>
      <c r="C42" s="3"/>
      <c r="D42" s="3"/>
      <c r="E42" s="3"/>
      <c r="G42" s="33"/>
    </row>
    <row r="43" spans="1:16">
      <c r="A43" s="24" t="s">
        <v>48</v>
      </c>
      <c r="B43" s="24" t="s">
        <v>49</v>
      </c>
      <c r="C43" s="24" t="s">
        <v>50</v>
      </c>
      <c r="D43" s="24" t="s">
        <v>51</v>
      </c>
      <c r="E43" s="24" t="s">
        <v>52</v>
      </c>
      <c r="F43" s="24" t="s">
        <v>53</v>
      </c>
      <c r="G43" s="24" t="s">
        <v>54</v>
      </c>
      <c r="H43" s="24" t="s">
        <v>55</v>
      </c>
      <c r="I43" s="24" t="s">
        <v>56</v>
      </c>
      <c r="J43" s="37" t="s">
        <v>57</v>
      </c>
      <c r="K43" s="41" t="s">
        <v>46</v>
      </c>
    </row>
    <row r="44" spans="1:16">
      <c r="A44" s="4" t="e">
        <f>#REF!</f>
        <v>#REF!</v>
      </c>
      <c r="B44" s="4" t="e">
        <f>#REF!</f>
        <v>#REF!</v>
      </c>
      <c r="C44" s="4" t="e">
        <f>#REF!</f>
        <v>#REF!</v>
      </c>
      <c r="D44" s="4" t="e">
        <f>#REF!</f>
        <v>#REF!</v>
      </c>
      <c r="E44" s="4" t="e">
        <f>#REF!</f>
        <v>#REF!</v>
      </c>
      <c r="F44" s="4" t="e">
        <f>#REF!</f>
        <v>#REF!</v>
      </c>
      <c r="G44" s="4" t="e">
        <f>#REF!</f>
        <v>#REF!</v>
      </c>
      <c r="H44" s="4" t="e">
        <f>#REF!</f>
        <v>#REF!</v>
      </c>
      <c r="I44" s="4" t="e">
        <f>#REF!</f>
        <v>#REF!</v>
      </c>
      <c r="J44" s="4" t="e">
        <f>#REF!</f>
        <v>#REF!</v>
      </c>
      <c r="K44" s="46" t="e">
        <f>SUM(A44:J44)</f>
        <v>#REF!</v>
      </c>
    </row>
    <row r="45" spans="1:16" ht="19.5" thickBot="1">
      <c r="A45" s="36" t="e">
        <f>C31</f>
        <v>#REF!</v>
      </c>
      <c r="B45" s="36" t="e">
        <f>C32</f>
        <v>#REF!</v>
      </c>
      <c r="C45" s="36" t="e">
        <f>C33</f>
        <v>#REF!</v>
      </c>
      <c r="D45" s="36" t="e">
        <f>C34</f>
        <v>#REF!</v>
      </c>
      <c r="E45" s="36" t="e">
        <f>C35</f>
        <v>#REF!</v>
      </c>
      <c r="F45" s="36" t="e">
        <f>C36</f>
        <v>#REF!</v>
      </c>
      <c r="G45" s="36" t="e">
        <f>C37</f>
        <v>#REF!</v>
      </c>
      <c r="H45" s="36" t="e">
        <f>C38</f>
        <v>#REF!</v>
      </c>
      <c r="I45" s="36" t="e">
        <f>C39</f>
        <v>#REF!</v>
      </c>
      <c r="J45" s="36" t="e">
        <f>C40</f>
        <v>#REF!</v>
      </c>
      <c r="K45" s="45"/>
      <c r="O45" s="52">
        <v>0.9</v>
      </c>
      <c r="P45" s="1" t="e">
        <f>A45*PRODUCT(A46:A54)*A44</f>
        <v>#REF!</v>
      </c>
    </row>
    <row r="46" spans="1:16">
      <c r="A46" s="1" t="e">
        <f>A44*A45</f>
        <v>#REF!</v>
      </c>
      <c r="B46" s="1" t="e">
        <f t="shared" ref="B46:J46" si="3">B44*B45</f>
        <v>#REF!</v>
      </c>
      <c r="C46" s="1" t="e">
        <f t="shared" si="3"/>
        <v>#REF!</v>
      </c>
      <c r="D46" s="1" t="e">
        <f t="shared" si="3"/>
        <v>#REF!</v>
      </c>
      <c r="E46" s="1" t="e">
        <f t="shared" si="3"/>
        <v>#REF!</v>
      </c>
      <c r="F46" s="1" t="e">
        <f t="shared" si="3"/>
        <v>#REF!</v>
      </c>
      <c r="G46" s="1" t="e">
        <f t="shared" si="3"/>
        <v>#REF!</v>
      </c>
      <c r="H46" s="1" t="e">
        <f t="shared" si="3"/>
        <v>#REF!</v>
      </c>
      <c r="I46" s="1" t="e">
        <f t="shared" si="3"/>
        <v>#REF!</v>
      </c>
      <c r="J46" s="1" t="e">
        <f t="shared" si="3"/>
        <v>#REF!</v>
      </c>
      <c r="O46" s="52">
        <v>0.89</v>
      </c>
    </row>
    <row r="47" spans="1:16" ht="19.5" thickBot="1">
      <c r="B47" s="1" t="e">
        <f>SUM(A46:B46)</f>
        <v>#REF!</v>
      </c>
      <c r="C47" s="1" t="e">
        <f>SUM(A46:C46)</f>
        <v>#REF!</v>
      </c>
      <c r="D47" s="1" t="e">
        <f>SUM(A46:D46)</f>
        <v>#REF!</v>
      </c>
      <c r="E47" s="1" t="e">
        <f>SUM(A46:E46)</f>
        <v>#REF!</v>
      </c>
      <c r="F47" s="1" t="e">
        <f>SUM(A46:F46)</f>
        <v>#REF!</v>
      </c>
      <c r="G47" s="1" t="e">
        <f>SUM(A46:G46)</f>
        <v>#REF!</v>
      </c>
      <c r="H47" s="1" t="e">
        <f>SUM(A46:H46)</f>
        <v>#REF!</v>
      </c>
      <c r="I47" s="1" t="e">
        <f>SUM(A46:I46)</f>
        <v>#REF!</v>
      </c>
      <c r="J47" s="1" t="e">
        <f>SUM(A46:J46)</f>
        <v>#REF!</v>
      </c>
      <c r="O47" s="52">
        <v>0.91</v>
      </c>
    </row>
    <row r="48" spans="1:16" ht="19.5" thickBot="1">
      <c r="A48" s="73" t="e">
        <f>A46/K44</f>
        <v>#REF!</v>
      </c>
      <c r="B48" s="74" t="e">
        <f>B47/K44</f>
        <v>#REF!</v>
      </c>
      <c r="C48" s="74" t="e">
        <f>C47/K44</f>
        <v>#REF!</v>
      </c>
      <c r="D48" s="74" t="e">
        <f>D47/K44</f>
        <v>#REF!</v>
      </c>
      <c r="E48" s="74" t="e">
        <f>E47/K44</f>
        <v>#REF!</v>
      </c>
      <c r="F48" s="74" t="e">
        <f>F47/K44</f>
        <v>#REF!</v>
      </c>
      <c r="G48" s="74" t="e">
        <f>G47/K44</f>
        <v>#REF!</v>
      </c>
      <c r="H48" s="74" t="e">
        <f>H47/K44</f>
        <v>#REF!</v>
      </c>
      <c r="I48" s="74" t="e">
        <f>I47/K44</f>
        <v>#REF!</v>
      </c>
      <c r="J48" s="75" t="e">
        <f>J47/K44</f>
        <v>#REF!</v>
      </c>
      <c r="L48" s="71" t="e" cm="1">
        <f t="array" ref="L48">INDEX(A48:J48,COUNTA(A48:J48))</f>
        <v>#REF!</v>
      </c>
      <c r="O48" s="52">
        <v>0.92</v>
      </c>
    </row>
    <row r="49" spans="1:15" ht="19.5" thickBot="1">
      <c r="L49" s="72" t="e">
        <f>L48*100</f>
        <v>#REF!</v>
      </c>
      <c r="M49" s="55" t="s">
        <v>74</v>
      </c>
      <c r="O49" s="52">
        <v>0.93</v>
      </c>
    </row>
    <row r="50" spans="1:15">
      <c r="L50" s="1" t="s">
        <v>73</v>
      </c>
      <c r="O50" s="52">
        <v>0.94</v>
      </c>
    </row>
    <row r="51" spans="1:15">
      <c r="O51" s="52">
        <v>0.95</v>
      </c>
    </row>
    <row r="52" spans="1:15">
      <c r="O52" s="52">
        <v>0.96</v>
      </c>
    </row>
    <row r="53" spans="1:15" ht="19.5">
      <c r="A53"/>
      <c r="B53"/>
      <c r="C53"/>
      <c r="D53"/>
      <c r="E53"/>
      <c r="F53"/>
      <c r="G53"/>
      <c r="H53"/>
      <c r="I53"/>
      <c r="J53"/>
      <c r="K53"/>
      <c r="L53"/>
      <c r="O53" s="52">
        <v>0.97</v>
      </c>
    </row>
    <row r="54" spans="1:15" ht="19.5">
      <c r="A54"/>
      <c r="B54"/>
      <c r="C54"/>
      <c r="D54"/>
      <c r="E54"/>
      <c r="F54"/>
      <c r="G54"/>
      <c r="H54"/>
      <c r="I54"/>
      <c r="J54"/>
      <c r="K54"/>
      <c r="L54"/>
      <c r="O54" s="52">
        <v>0.98</v>
      </c>
    </row>
    <row r="55" spans="1:15" ht="19.5">
      <c r="A55"/>
      <c r="B55"/>
      <c r="C55"/>
      <c r="D55"/>
      <c r="E55"/>
      <c r="F55"/>
      <c r="G55"/>
      <c r="H55"/>
      <c r="I55"/>
      <c r="J55"/>
      <c r="K55"/>
      <c r="L55"/>
      <c r="O55" s="53" t="e">
        <f>O46*PRODUCT(O47:O54)*B44</f>
        <v>#REF!</v>
      </c>
    </row>
    <row r="56" spans="1:15" ht="19.5">
      <c r="A56"/>
      <c r="B56"/>
      <c r="C56"/>
      <c r="D56"/>
      <c r="E56"/>
      <c r="F56"/>
      <c r="G56"/>
      <c r="H56"/>
      <c r="I56"/>
      <c r="J56"/>
      <c r="K56"/>
      <c r="L56"/>
    </row>
    <row r="57" spans="1:15" ht="19.5">
      <c r="A57"/>
      <c r="B57"/>
      <c r="C57"/>
      <c r="D57"/>
      <c r="E57"/>
      <c r="F57"/>
      <c r="G57"/>
      <c r="H57"/>
      <c r="I57"/>
      <c r="J57"/>
      <c r="K57"/>
      <c r="L57"/>
      <c r="O57" s="56" t="e" cm="1">
        <f t="array" ref="O57">PRODUCT(IF(K46:K54&lt;&gt;0,K46:K54,""))*K44</f>
        <v>#REF!</v>
      </c>
    </row>
  </sheetData>
  <mergeCells count="2">
    <mergeCell ref="B41:C41"/>
    <mergeCell ref="D41:E41"/>
  </mergeCells>
  <phoneticPr fontId="7"/>
  <conditionalFormatting sqref="A16:A18">
    <cfRule type="cellIs" dxfId="5" priority="2" operator="equal">
      <formula>0</formula>
    </cfRule>
  </conditionalFormatting>
  <conditionalFormatting sqref="A16:J17">
    <cfRule type="cellIs" dxfId="4" priority="4" operator="equal">
      <formula>0</formula>
    </cfRule>
    <cfRule type="cellIs" dxfId="3" priority="5" operator="lessThan">
      <formula>0</formula>
    </cfRule>
  </conditionalFormatting>
  <conditionalFormatting sqref="A27:J27">
    <cfRule type="cellIs" dxfId="2" priority="8" operator="lessThan">
      <formula>0</formula>
    </cfRule>
  </conditionalFormatting>
  <conditionalFormatting sqref="A44:J46">
    <cfRule type="cellIs" dxfId="1" priority="1" operator="equal">
      <formula>0</formula>
    </cfRule>
  </conditionalFormatting>
  <conditionalFormatting sqref="B18:J18">
    <cfRule type="cellIs" dxfId="0" priority="3" operator="equal">
      <formula>0</formula>
    </cfRule>
  </conditionalFormatting>
  <pageMargins left="0.7" right="0.7" top="0.75" bottom="0.75" header="0.3" footer="0.3"/>
  <pageSetup paperSize="9" scale="63" orientation="portrait" r:id="rId1"/>
  <rowBreaks count="1" manualBreakCount="1">
    <brk id="28"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1EDAA-2907-4BE0-978D-CDE09EC01D57}">
  <sheetPr>
    <tabColor theme="7" tint="-0.499984740745262"/>
  </sheetPr>
  <dimension ref="A1:D106"/>
  <sheetViews>
    <sheetView workbookViewId="0">
      <selection activeCell="H9" sqref="H9"/>
    </sheetView>
  </sheetViews>
  <sheetFormatPr defaultColWidth="8.75" defaultRowHeight="16.5"/>
  <cols>
    <col min="1" max="1" width="16.25" style="698" customWidth="1"/>
    <col min="2" max="2" width="16.25" style="549" customWidth="1"/>
    <col min="3" max="3" width="10.75" style="100" customWidth="1"/>
    <col min="4" max="4" width="68.5" style="100" customWidth="1"/>
    <col min="5" max="16384" width="8.75" style="100"/>
  </cols>
  <sheetData>
    <row r="1" spans="1:4">
      <c r="A1" s="694" t="s">
        <v>865</v>
      </c>
      <c r="B1" s="695" t="s">
        <v>866</v>
      </c>
      <c r="C1" s="696" t="s">
        <v>867</v>
      </c>
      <c r="D1" s="696" t="s">
        <v>868</v>
      </c>
    </row>
    <row r="2" spans="1:4">
      <c r="A2" s="697">
        <v>45686</v>
      </c>
      <c r="B2" s="699" t="s">
        <v>870</v>
      </c>
      <c r="C2" s="383"/>
      <c r="D2" s="383"/>
    </row>
    <row r="3" spans="1:4">
      <c r="A3" s="697">
        <v>45688</v>
      </c>
      <c r="B3" s="699" t="s">
        <v>871</v>
      </c>
      <c r="C3" s="383" t="s">
        <v>869</v>
      </c>
      <c r="D3" s="383" t="s">
        <v>872</v>
      </c>
    </row>
    <row r="4" spans="1:4">
      <c r="A4" s="697">
        <v>45707</v>
      </c>
      <c r="B4" s="699" t="s">
        <v>881</v>
      </c>
      <c r="C4" s="383" t="s">
        <v>869</v>
      </c>
      <c r="D4" s="383" t="s">
        <v>882</v>
      </c>
    </row>
    <row r="5" spans="1:4">
      <c r="A5" s="697">
        <v>45744</v>
      </c>
      <c r="B5" s="699" t="s">
        <v>962</v>
      </c>
      <c r="C5" s="383" t="s">
        <v>970</v>
      </c>
      <c r="D5" s="383" t="s">
        <v>963</v>
      </c>
    </row>
    <row r="6" spans="1:4">
      <c r="A6" s="697">
        <v>45750</v>
      </c>
      <c r="B6" s="699" t="s">
        <v>977</v>
      </c>
      <c r="C6" s="383" t="s">
        <v>978</v>
      </c>
      <c r="D6" s="383" t="s">
        <v>979</v>
      </c>
    </row>
    <row r="7" spans="1:4">
      <c r="A7" s="697"/>
      <c r="B7" s="699"/>
      <c r="C7" s="383"/>
      <c r="D7" s="383"/>
    </row>
    <row r="8" spans="1:4">
      <c r="A8" s="697"/>
      <c r="B8" s="699"/>
      <c r="C8" s="383"/>
      <c r="D8" s="383"/>
    </row>
    <row r="9" spans="1:4">
      <c r="A9" s="697"/>
      <c r="B9" s="699"/>
      <c r="C9" s="383"/>
      <c r="D9" s="383"/>
    </row>
    <row r="10" spans="1:4">
      <c r="A10" s="697"/>
      <c r="B10" s="699"/>
      <c r="C10" s="383"/>
      <c r="D10" s="383"/>
    </row>
    <row r="11" spans="1:4">
      <c r="A11" s="697"/>
      <c r="B11" s="699"/>
      <c r="C11" s="383"/>
      <c r="D11" s="383"/>
    </row>
    <row r="12" spans="1:4">
      <c r="A12" s="697"/>
      <c r="B12" s="699"/>
      <c r="C12" s="383"/>
      <c r="D12" s="383"/>
    </row>
    <row r="13" spans="1:4">
      <c r="A13" s="697"/>
      <c r="B13" s="699"/>
      <c r="C13" s="383"/>
      <c r="D13" s="383"/>
    </row>
    <row r="14" spans="1:4">
      <c r="A14" s="697"/>
      <c r="B14" s="699"/>
      <c r="C14" s="383"/>
      <c r="D14" s="383"/>
    </row>
    <row r="15" spans="1:4">
      <c r="A15" s="697"/>
      <c r="B15" s="699"/>
      <c r="C15" s="383"/>
      <c r="D15" s="383"/>
    </row>
    <row r="16" spans="1:4">
      <c r="A16" s="697"/>
      <c r="B16" s="699"/>
      <c r="C16" s="383"/>
      <c r="D16" s="383"/>
    </row>
    <row r="17" spans="1:4">
      <c r="A17" s="697"/>
      <c r="B17" s="699"/>
      <c r="C17" s="383"/>
      <c r="D17" s="383"/>
    </row>
    <row r="18" spans="1:4">
      <c r="A18" s="697"/>
      <c r="B18" s="699"/>
      <c r="C18" s="383"/>
      <c r="D18" s="383"/>
    </row>
    <row r="19" spans="1:4">
      <c r="A19" s="697"/>
      <c r="B19" s="699"/>
      <c r="C19" s="383"/>
      <c r="D19" s="383"/>
    </row>
    <row r="20" spans="1:4">
      <c r="A20" s="697"/>
      <c r="B20" s="699"/>
      <c r="C20" s="383"/>
      <c r="D20" s="383"/>
    </row>
    <row r="21" spans="1:4">
      <c r="A21" s="697"/>
      <c r="B21" s="699"/>
      <c r="C21" s="383"/>
      <c r="D21" s="383"/>
    </row>
    <row r="22" spans="1:4">
      <c r="A22" s="697"/>
      <c r="B22" s="699"/>
      <c r="C22" s="383"/>
      <c r="D22" s="383"/>
    </row>
    <row r="23" spans="1:4">
      <c r="A23" s="697"/>
      <c r="B23" s="699"/>
      <c r="C23" s="383"/>
      <c r="D23" s="383"/>
    </row>
    <row r="24" spans="1:4">
      <c r="A24" s="697"/>
      <c r="B24" s="699"/>
      <c r="C24" s="383"/>
      <c r="D24" s="383"/>
    </row>
    <row r="25" spans="1:4">
      <c r="A25" s="697"/>
      <c r="B25" s="699"/>
      <c r="C25" s="383"/>
      <c r="D25" s="383"/>
    </row>
    <row r="26" spans="1:4">
      <c r="A26" s="697"/>
      <c r="B26" s="699"/>
      <c r="C26" s="383"/>
      <c r="D26" s="383"/>
    </row>
    <row r="27" spans="1:4">
      <c r="A27" s="697"/>
      <c r="B27" s="699"/>
      <c r="C27" s="383"/>
      <c r="D27" s="383"/>
    </row>
    <row r="28" spans="1:4">
      <c r="A28" s="697"/>
      <c r="B28" s="699"/>
      <c r="C28" s="383"/>
      <c r="D28" s="383"/>
    </row>
    <row r="29" spans="1:4">
      <c r="A29" s="697"/>
      <c r="B29" s="699"/>
      <c r="C29" s="383"/>
      <c r="D29" s="383"/>
    </row>
    <row r="30" spans="1:4">
      <c r="A30" s="697"/>
      <c r="B30" s="699"/>
      <c r="C30" s="383"/>
      <c r="D30" s="383"/>
    </row>
    <row r="31" spans="1:4">
      <c r="A31" s="697"/>
      <c r="B31" s="699"/>
      <c r="C31" s="383"/>
      <c r="D31" s="383"/>
    </row>
    <row r="32" spans="1:4">
      <c r="A32" s="697"/>
      <c r="B32" s="699"/>
      <c r="C32" s="383"/>
      <c r="D32" s="383"/>
    </row>
    <row r="33" spans="1:4">
      <c r="A33" s="697"/>
      <c r="B33" s="699"/>
      <c r="C33" s="383"/>
      <c r="D33" s="383"/>
    </row>
    <row r="34" spans="1:4">
      <c r="A34" s="697"/>
      <c r="B34" s="699"/>
      <c r="C34" s="383"/>
      <c r="D34" s="383"/>
    </row>
    <row r="35" spans="1:4">
      <c r="A35" s="697"/>
      <c r="B35" s="699"/>
      <c r="C35" s="383"/>
      <c r="D35" s="383"/>
    </row>
    <row r="36" spans="1:4">
      <c r="A36" s="697"/>
      <c r="B36" s="699"/>
      <c r="C36" s="383"/>
      <c r="D36" s="383"/>
    </row>
    <row r="37" spans="1:4">
      <c r="A37" s="697"/>
      <c r="B37" s="699"/>
      <c r="C37" s="383"/>
      <c r="D37" s="383"/>
    </row>
    <row r="38" spans="1:4">
      <c r="A38" s="697"/>
      <c r="B38" s="699"/>
      <c r="C38" s="383"/>
      <c r="D38" s="383"/>
    </row>
    <row r="39" spans="1:4">
      <c r="A39" s="697"/>
      <c r="B39" s="699"/>
      <c r="C39" s="383"/>
      <c r="D39" s="383"/>
    </row>
    <row r="40" spans="1:4">
      <c r="A40" s="697"/>
      <c r="B40" s="699"/>
      <c r="C40" s="383"/>
      <c r="D40" s="383"/>
    </row>
    <row r="41" spans="1:4">
      <c r="A41" s="697"/>
      <c r="B41" s="699"/>
      <c r="C41" s="383"/>
      <c r="D41" s="383"/>
    </row>
    <row r="42" spans="1:4">
      <c r="A42" s="697"/>
      <c r="B42" s="699"/>
      <c r="C42" s="383"/>
      <c r="D42" s="383"/>
    </row>
    <row r="43" spans="1:4">
      <c r="A43" s="697"/>
      <c r="B43" s="699"/>
      <c r="C43" s="383"/>
      <c r="D43" s="383"/>
    </row>
    <row r="44" spans="1:4">
      <c r="A44" s="697"/>
      <c r="B44" s="699"/>
      <c r="C44" s="383"/>
      <c r="D44" s="383"/>
    </row>
    <row r="45" spans="1:4">
      <c r="A45" s="697"/>
      <c r="B45" s="699"/>
      <c r="C45" s="383"/>
      <c r="D45" s="383"/>
    </row>
    <row r="46" spans="1:4">
      <c r="A46" s="697"/>
      <c r="B46" s="699"/>
      <c r="C46" s="383"/>
      <c r="D46" s="383"/>
    </row>
    <row r="47" spans="1:4">
      <c r="A47" s="697"/>
      <c r="B47" s="699"/>
      <c r="C47" s="383"/>
      <c r="D47" s="383"/>
    </row>
    <row r="48" spans="1:4">
      <c r="A48" s="697"/>
      <c r="B48" s="699"/>
      <c r="C48" s="383"/>
      <c r="D48" s="383"/>
    </row>
    <row r="49" spans="1:4">
      <c r="A49" s="697"/>
      <c r="B49" s="699"/>
      <c r="C49" s="383"/>
      <c r="D49" s="383"/>
    </row>
    <row r="50" spans="1:4">
      <c r="A50" s="697"/>
      <c r="B50" s="699"/>
      <c r="C50" s="383"/>
      <c r="D50" s="383"/>
    </row>
    <row r="51" spans="1:4">
      <c r="A51" s="697"/>
      <c r="B51" s="699"/>
      <c r="C51" s="383"/>
      <c r="D51" s="383"/>
    </row>
    <row r="52" spans="1:4">
      <c r="A52" s="697"/>
      <c r="B52" s="699"/>
      <c r="C52" s="383"/>
      <c r="D52" s="383"/>
    </row>
    <row r="53" spans="1:4">
      <c r="A53" s="697"/>
      <c r="B53" s="699"/>
      <c r="C53" s="383"/>
      <c r="D53" s="383"/>
    </row>
    <row r="54" spans="1:4">
      <c r="A54" s="697"/>
      <c r="B54" s="699"/>
      <c r="C54" s="383"/>
      <c r="D54" s="383"/>
    </row>
    <row r="55" spans="1:4">
      <c r="A55" s="697"/>
      <c r="B55" s="699"/>
      <c r="C55" s="383"/>
      <c r="D55" s="383"/>
    </row>
    <row r="56" spans="1:4">
      <c r="A56" s="697"/>
      <c r="B56" s="699"/>
      <c r="C56" s="383"/>
      <c r="D56" s="383"/>
    </row>
    <row r="57" spans="1:4">
      <c r="A57" s="697"/>
      <c r="B57" s="699"/>
      <c r="C57" s="383"/>
      <c r="D57" s="383"/>
    </row>
    <row r="58" spans="1:4">
      <c r="A58" s="697"/>
      <c r="B58" s="699"/>
      <c r="C58" s="383"/>
      <c r="D58" s="383"/>
    </row>
    <row r="59" spans="1:4">
      <c r="A59" s="697"/>
      <c r="B59" s="699"/>
      <c r="C59" s="383"/>
      <c r="D59" s="383"/>
    </row>
    <row r="60" spans="1:4">
      <c r="A60" s="697"/>
      <c r="B60" s="699"/>
      <c r="C60" s="383"/>
      <c r="D60" s="383"/>
    </row>
    <row r="61" spans="1:4">
      <c r="A61" s="697"/>
      <c r="B61" s="699"/>
      <c r="C61" s="383"/>
      <c r="D61" s="383"/>
    </row>
    <row r="62" spans="1:4">
      <c r="A62" s="697"/>
      <c r="B62" s="699"/>
      <c r="C62" s="383"/>
      <c r="D62" s="383"/>
    </row>
    <row r="63" spans="1:4">
      <c r="A63" s="697"/>
      <c r="B63" s="699"/>
      <c r="C63" s="383"/>
      <c r="D63" s="383"/>
    </row>
    <row r="64" spans="1:4">
      <c r="A64" s="697"/>
      <c r="B64" s="699"/>
      <c r="C64" s="383"/>
      <c r="D64" s="383"/>
    </row>
    <row r="65" spans="1:4">
      <c r="A65" s="697"/>
      <c r="B65" s="699"/>
      <c r="C65" s="383"/>
      <c r="D65" s="383"/>
    </row>
    <row r="66" spans="1:4">
      <c r="A66" s="697"/>
      <c r="B66" s="699"/>
      <c r="C66" s="383"/>
      <c r="D66" s="383"/>
    </row>
    <row r="67" spans="1:4">
      <c r="A67" s="697"/>
      <c r="B67" s="699"/>
      <c r="C67" s="383"/>
      <c r="D67" s="383"/>
    </row>
    <row r="68" spans="1:4">
      <c r="A68" s="697"/>
      <c r="B68" s="699"/>
      <c r="C68" s="383"/>
      <c r="D68" s="383"/>
    </row>
    <row r="69" spans="1:4">
      <c r="A69" s="697"/>
      <c r="B69" s="699"/>
      <c r="C69" s="383"/>
      <c r="D69" s="383"/>
    </row>
    <row r="70" spans="1:4">
      <c r="A70" s="697"/>
      <c r="B70" s="699"/>
      <c r="C70" s="383"/>
      <c r="D70" s="383"/>
    </row>
    <row r="71" spans="1:4">
      <c r="A71" s="697"/>
      <c r="B71" s="699"/>
      <c r="C71" s="383"/>
      <c r="D71" s="383"/>
    </row>
    <row r="72" spans="1:4">
      <c r="A72" s="697"/>
      <c r="B72" s="699"/>
      <c r="C72" s="383"/>
      <c r="D72" s="383"/>
    </row>
    <row r="73" spans="1:4">
      <c r="A73" s="697"/>
      <c r="B73" s="699"/>
      <c r="C73" s="383"/>
      <c r="D73" s="383"/>
    </row>
    <row r="74" spans="1:4">
      <c r="A74" s="697"/>
      <c r="B74" s="699"/>
      <c r="C74" s="383"/>
      <c r="D74" s="383"/>
    </row>
    <row r="75" spans="1:4">
      <c r="A75" s="697"/>
      <c r="B75" s="699"/>
      <c r="C75" s="383"/>
      <c r="D75" s="383"/>
    </row>
    <row r="76" spans="1:4">
      <c r="A76" s="697"/>
      <c r="B76" s="699"/>
      <c r="C76" s="383"/>
      <c r="D76" s="383"/>
    </row>
    <row r="77" spans="1:4">
      <c r="A77" s="697"/>
      <c r="B77" s="699"/>
      <c r="C77" s="383"/>
      <c r="D77" s="383"/>
    </row>
    <row r="78" spans="1:4">
      <c r="A78" s="697"/>
      <c r="B78" s="699"/>
      <c r="C78" s="383"/>
      <c r="D78" s="383"/>
    </row>
    <row r="79" spans="1:4">
      <c r="A79" s="697"/>
      <c r="B79" s="699"/>
      <c r="C79" s="383"/>
      <c r="D79" s="383"/>
    </row>
    <row r="80" spans="1:4">
      <c r="A80" s="697"/>
      <c r="B80" s="699"/>
      <c r="C80" s="383"/>
      <c r="D80" s="383"/>
    </row>
    <row r="81" spans="1:4">
      <c r="A81" s="697"/>
      <c r="B81" s="699"/>
      <c r="C81" s="383"/>
      <c r="D81" s="383"/>
    </row>
    <row r="82" spans="1:4">
      <c r="A82" s="697"/>
      <c r="B82" s="699"/>
      <c r="C82" s="383"/>
      <c r="D82" s="383"/>
    </row>
    <row r="83" spans="1:4">
      <c r="A83" s="697"/>
      <c r="B83" s="699"/>
      <c r="C83" s="383"/>
      <c r="D83" s="383"/>
    </row>
    <row r="84" spans="1:4">
      <c r="A84" s="697"/>
      <c r="B84" s="699"/>
      <c r="C84" s="383"/>
      <c r="D84" s="383"/>
    </row>
    <row r="85" spans="1:4">
      <c r="A85" s="697"/>
      <c r="B85" s="699"/>
      <c r="C85" s="383"/>
      <c r="D85" s="383"/>
    </row>
    <row r="86" spans="1:4">
      <c r="A86" s="697"/>
      <c r="B86" s="699"/>
      <c r="C86" s="383"/>
      <c r="D86" s="383"/>
    </row>
    <row r="87" spans="1:4">
      <c r="A87" s="697"/>
      <c r="B87" s="699"/>
      <c r="C87" s="383"/>
      <c r="D87" s="383"/>
    </row>
    <row r="88" spans="1:4">
      <c r="A88" s="697"/>
      <c r="B88" s="699"/>
      <c r="C88" s="383"/>
      <c r="D88" s="383"/>
    </row>
    <row r="89" spans="1:4">
      <c r="A89" s="697"/>
      <c r="B89" s="699"/>
      <c r="C89" s="383"/>
      <c r="D89" s="383"/>
    </row>
    <row r="90" spans="1:4">
      <c r="A90" s="697"/>
      <c r="B90" s="699"/>
      <c r="C90" s="383"/>
      <c r="D90" s="383"/>
    </row>
    <row r="91" spans="1:4">
      <c r="A91" s="697"/>
      <c r="B91" s="699"/>
      <c r="C91" s="383"/>
      <c r="D91" s="383"/>
    </row>
    <row r="92" spans="1:4">
      <c r="A92" s="697"/>
      <c r="B92" s="699"/>
      <c r="C92" s="383"/>
      <c r="D92" s="383"/>
    </row>
    <row r="93" spans="1:4">
      <c r="A93" s="697"/>
      <c r="B93" s="699"/>
      <c r="C93" s="383"/>
      <c r="D93" s="383"/>
    </row>
    <row r="94" spans="1:4">
      <c r="A94" s="697"/>
      <c r="B94" s="699"/>
      <c r="C94" s="383"/>
      <c r="D94" s="383"/>
    </row>
    <row r="95" spans="1:4">
      <c r="A95" s="697"/>
      <c r="B95" s="699"/>
      <c r="C95" s="383"/>
      <c r="D95" s="383"/>
    </row>
    <row r="96" spans="1:4">
      <c r="A96" s="697"/>
      <c r="B96" s="699"/>
      <c r="C96" s="383"/>
      <c r="D96" s="383"/>
    </row>
    <row r="97" spans="1:4">
      <c r="A97" s="697"/>
      <c r="B97" s="699"/>
      <c r="C97" s="383"/>
      <c r="D97" s="383"/>
    </row>
    <row r="98" spans="1:4">
      <c r="A98" s="697"/>
      <c r="B98" s="699"/>
      <c r="C98" s="383"/>
      <c r="D98" s="383"/>
    </row>
    <row r="99" spans="1:4">
      <c r="A99" s="697"/>
      <c r="B99" s="699"/>
      <c r="C99" s="383"/>
      <c r="D99" s="383"/>
    </row>
    <row r="100" spans="1:4">
      <c r="A100" s="697"/>
      <c r="B100" s="699"/>
      <c r="C100" s="383"/>
      <c r="D100" s="383"/>
    </row>
    <row r="101" spans="1:4">
      <c r="A101" s="697"/>
      <c r="B101" s="699"/>
      <c r="C101" s="383"/>
      <c r="D101" s="383"/>
    </row>
    <row r="102" spans="1:4">
      <c r="A102" s="697"/>
      <c r="B102" s="699"/>
      <c r="C102" s="383"/>
      <c r="D102" s="383"/>
    </row>
    <row r="103" spans="1:4">
      <c r="A103" s="697"/>
      <c r="B103" s="699"/>
      <c r="C103" s="383"/>
      <c r="D103" s="383"/>
    </row>
    <row r="104" spans="1:4">
      <c r="A104" s="697"/>
      <c r="B104" s="699"/>
      <c r="C104" s="383"/>
      <c r="D104" s="383"/>
    </row>
    <row r="105" spans="1:4">
      <c r="A105" s="697"/>
      <c r="B105" s="699"/>
      <c r="C105" s="383"/>
      <c r="D105" s="383"/>
    </row>
    <row r="106" spans="1:4">
      <c r="A106" s="697"/>
      <c r="B106" s="699"/>
      <c r="C106" s="383"/>
      <c r="D106" s="383"/>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1-1 フローチャート(効果算定)</vt:lpstr>
      <vt:lpstr>1-2 フローチャート(活動量算定)</vt:lpstr>
      <vt:lpstr>2-1 算定シート（電動式）</vt:lpstr>
      <vt:lpstr>計算シート（電動式）</vt:lpstr>
      <vt:lpstr>電動式データ</vt:lpstr>
      <vt:lpstr>2-2 算定シート（燃焼式）</vt:lpstr>
      <vt:lpstr>計算シート (燃焼式)</vt:lpstr>
      <vt:lpstr>燃焼式データ</vt:lpstr>
      <vt:lpstr>使ってない）燃料データ_新</vt:lpstr>
      <vt:lpstr>使ってない）燃焼式データ(旧)</vt:lpstr>
      <vt:lpstr>使ってない）複数ボイラの平均効率算出方法</vt:lpstr>
      <vt:lpstr>改訂日</vt:lpstr>
      <vt:lpstr>'1-1 フローチャート(効果算定)'!Print_Area</vt:lpstr>
      <vt:lpstr>'1-2 フローチャート(活動量算定)'!Print_Area</vt:lpstr>
      <vt:lpstr>'2-1 算定シート（電動式）'!Print_Area</vt:lpstr>
      <vt:lpstr>'2-2 算定シート（燃焼式）'!Print_Area</vt:lpstr>
      <vt:lpstr>'計算シート (燃焼式)'!Print_Area</vt:lpstr>
      <vt:lpstr>'使ってない）複数ボイラの平均効率算出方法'!Print_Area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大原 三世子</dc:creator>
  <cp:lastModifiedBy>PC-QUE37</cp:lastModifiedBy>
  <cp:lastPrinted>2025-04-04T01:01:13Z</cp:lastPrinted>
  <dcterms:created xsi:type="dcterms:W3CDTF">2015-06-05T18:19:34Z</dcterms:created>
  <dcterms:modified xsi:type="dcterms:W3CDTF">2025-04-04T07:38:33Z</dcterms:modified>
</cp:coreProperties>
</file>